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Google Drive\AEBG Reader's Conference 1\51 South Bay (SBCAE) San Jose-Evergreen\"/>
    </mc:Choice>
  </mc:AlternateContent>
  <bookViews>
    <workbookView xWindow="270" yWindow="1085" windowWidth="19440" windowHeight="12240" tabRatio="747"/>
  </bookViews>
  <sheets>
    <sheet name="Summary" sheetId="41" r:id="rId1"/>
    <sheet name="ddConsortia" sheetId="42" state="hidden" r:id="rId2"/>
    <sheet name="ESAE" sheetId="43" r:id="rId3"/>
    <sheet name="SCAE" sheetId="44" r:id="rId4"/>
    <sheet name="SVAE" sheetId="45" r:id="rId5"/>
    <sheet name="CAE" sheetId="46" r:id="rId6"/>
    <sheet name="MAE" sheetId="47" r:id="rId7"/>
    <sheet name="WVMCCD" sheetId="39" r:id="rId8"/>
    <sheet name="SJECCD" sheetId="61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5">#REF!</definedName>
    <definedName name="ddConsortia" localSheetId="1">[1]Census!$A$2:$A$71</definedName>
    <definedName name="ddConsortia" localSheetId="2">#REF!</definedName>
    <definedName name="ddConsortia" localSheetId="6">#REF!</definedName>
    <definedName name="ddConsortia" localSheetId="3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9">#REF!</definedName>
    <definedName name="ddConsortia" localSheetId="10">#REF!</definedName>
    <definedName name="ddConsortia" localSheetId="8">#REF!</definedName>
    <definedName name="ddConsortia" localSheetId="4">#REF!</definedName>
    <definedName name="ddConsortia">#REF!</definedName>
    <definedName name="ddConsortium">ddConsortia!$A$2:$A$72</definedName>
    <definedName name="_xlnm.Print_Area" localSheetId="5">CAE!$A$1:$AB$72</definedName>
    <definedName name="_xlnm.Print_Area" localSheetId="2">ESAE!$A$1:$AB$72</definedName>
    <definedName name="_xlnm.Print_Area" localSheetId="6">MAE!$A$1:$AB$72</definedName>
    <definedName name="_xlnm.Print_Area" localSheetId="3">SCAE!$A$1:$AB$72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9">Sheet8!$A$1:$AB$72</definedName>
    <definedName name="_xlnm.Print_Area" localSheetId="10">Sheet9!$A$1:$AB$72</definedName>
    <definedName name="_xlnm.Print_Area" localSheetId="8">SJECCD!$A$1:$AB$72</definedName>
    <definedName name="_xlnm.Print_Area" localSheetId="0">Summary!$A$1:$AB$71</definedName>
    <definedName name="_xlnm.Print_Area" localSheetId="4">SVAE!$A$1:$AB$72</definedName>
    <definedName name="_xlnm.Print_Area" localSheetId="7">WVMCCD!$A$1:$AB$72</definedName>
    <definedName name="tblDemographics" localSheetId="5">#REF!</definedName>
    <definedName name="tblDemographics" localSheetId="2">#REF!</definedName>
    <definedName name="tblDemographics" localSheetId="6">#REF!</definedName>
    <definedName name="tblDemographics" localSheetId="3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9">#REF!</definedName>
    <definedName name="tblDemographics" localSheetId="10">#REF!</definedName>
    <definedName name="tblDemographics" localSheetId="8">#REF!</definedName>
    <definedName name="tblDemographics" localSheetId="4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9" i="41" l="1"/>
  <c r="H21" i="46" l="1"/>
  <c r="H23" i="46"/>
  <c r="H31" i="61" l="1"/>
  <c r="H58" i="61" l="1"/>
  <c r="H44" i="47"/>
  <c r="H44" i="46"/>
  <c r="H44" i="44"/>
  <c r="H44" i="43"/>
  <c r="H60" i="61"/>
  <c r="H66" i="61"/>
  <c r="H64" i="61"/>
  <c r="H62" i="61"/>
  <c r="H33" i="61"/>
  <c r="H29" i="61"/>
  <c r="V31" i="61"/>
  <c r="V31" i="39"/>
  <c r="V29" i="61"/>
  <c r="V23" i="61"/>
  <c r="V21" i="39"/>
  <c r="V21" i="61"/>
  <c r="V29" i="39"/>
  <c r="V23" i="39"/>
  <c r="R29" i="61"/>
  <c r="R31" i="61"/>
  <c r="R23" i="61"/>
  <c r="R21" i="61"/>
  <c r="R31" i="39"/>
  <c r="R21" i="39"/>
  <c r="R29" i="39"/>
  <c r="R23" i="39"/>
  <c r="L45" i="41"/>
  <c r="L47" i="41"/>
  <c r="F45" i="41"/>
  <c r="F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H43" i="41"/>
  <c r="H47" i="41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T65" i="41"/>
  <c r="T63" i="41"/>
  <c r="T61" i="41"/>
  <c r="T59" i="41"/>
  <c r="T57" i="41"/>
  <c r="R65" i="41"/>
  <c r="R63" i="41"/>
  <c r="N57" i="41"/>
  <c r="N67" i="41" s="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X68" i="61"/>
  <c r="T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V66" i="61" s="1"/>
  <c r="T35" i="61"/>
  <c r="R35" i="61"/>
  <c r="R62" i="61" s="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X67" i="41"/>
  <c r="T67" i="41"/>
  <c r="F67" i="41"/>
  <c r="Z23" i="41"/>
  <c r="Z25" i="41"/>
  <c r="T33" i="41"/>
  <c r="X68" i="39"/>
  <c r="T68" i="39"/>
  <c r="N68" i="39"/>
  <c r="J68" i="39"/>
  <c r="H68" i="39"/>
  <c r="F68" i="39"/>
  <c r="X35" i="39"/>
  <c r="V35" i="39"/>
  <c r="T35" i="39"/>
  <c r="R35" i="39"/>
  <c r="R58" i="39" s="1"/>
  <c r="N35" i="39"/>
  <c r="J35" i="39"/>
  <c r="H35" i="39"/>
  <c r="F35" i="39"/>
  <c r="Z21" i="39"/>
  <c r="Z33" i="39"/>
  <c r="Z31" i="39"/>
  <c r="Z29" i="39"/>
  <c r="Z23" i="39"/>
  <c r="Z25" i="39"/>
  <c r="Z27" i="39"/>
  <c r="Z21" i="41"/>
  <c r="F33" i="41"/>
  <c r="V66" i="39"/>
  <c r="V62" i="39"/>
  <c r="V58" i="39"/>
  <c r="V64" i="39"/>
  <c r="V60" i="39"/>
  <c r="R33" i="41"/>
  <c r="N45" i="41"/>
  <c r="V33" i="41"/>
  <c r="F47" i="41"/>
  <c r="J47" i="41" s="1"/>
  <c r="J43" i="41"/>
  <c r="J33" i="41"/>
  <c r="X33" i="41"/>
  <c r="Z27" i="41"/>
  <c r="Z35" i="61"/>
  <c r="Z35" i="39"/>
  <c r="Z64" i="39"/>
  <c r="V68" i="39"/>
  <c r="Z66" i="39"/>
  <c r="Z58" i="39" l="1"/>
  <c r="Z66" i="61"/>
  <c r="V65" i="41"/>
  <c r="Z68" i="44"/>
  <c r="Z35" i="45"/>
  <c r="Z31" i="41"/>
  <c r="Z19" i="41"/>
  <c r="N33" i="41"/>
  <c r="Z65" i="41"/>
  <c r="R60" i="39"/>
  <c r="R62" i="39"/>
  <c r="R58" i="61"/>
  <c r="R60" i="61"/>
  <c r="V58" i="61"/>
  <c r="V60" i="61"/>
  <c r="V59" i="41" s="1"/>
  <c r="V62" i="61"/>
  <c r="V61" i="41" s="1"/>
  <c r="V64" i="61"/>
  <c r="N47" i="41"/>
  <c r="Z35" i="44"/>
  <c r="Z29" i="41"/>
  <c r="Z33" i="41" s="1"/>
  <c r="J67" i="41"/>
  <c r="Z68" i="46"/>
  <c r="H33" i="41"/>
  <c r="Z35" i="46"/>
  <c r="Z68" i="45"/>
  <c r="H67" i="41"/>
  <c r="Z68" i="43"/>
  <c r="Z64" i="61" l="1"/>
  <c r="V63" i="41"/>
  <c r="Z63" i="41" s="1"/>
  <c r="V68" i="61"/>
  <c r="V57" i="41"/>
  <c r="V67" i="41" s="1"/>
  <c r="Z60" i="61"/>
  <c r="Z58" i="61"/>
  <c r="R68" i="61"/>
  <c r="R61" i="41"/>
  <c r="Z61" i="41" s="1"/>
  <c r="Z62" i="39"/>
  <c r="R59" i="41"/>
  <c r="Z59" i="41" s="1"/>
  <c r="Z60" i="39"/>
  <c r="Z62" i="61"/>
  <c r="Z68" i="39"/>
  <c r="R68" i="39"/>
  <c r="R57" i="41"/>
  <c r="R67" i="41" l="1"/>
  <c r="Z57" i="41"/>
  <c r="Z67" i="41" s="1"/>
  <c r="Z68" i="61"/>
</calcChain>
</file>

<file path=xl/sharedStrings.xml><?xml version="1.0" encoding="utf-8"?>
<sst xmlns="http://schemas.openxmlformats.org/spreadsheetml/2006/main" count="1276" uniqueCount="125">
  <si>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</si>
  <si>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</si>
  <si>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</si>
  <si>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</si>
  <si>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</si>
  <si>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</si>
  <si>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</si>
  <si>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</si>
  <si>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</si>
  <si>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</si>
  <si>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</si>
  <si>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</si>
  <si>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</si>
  <si>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</si>
  <si>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</si>
  <si>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</si>
  <si>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</si>
  <si>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</si>
  <si>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</si>
  <si>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</si>
  <si>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</si>
  <si>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</si>
  <si>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</si>
  <si>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</si>
  <si>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</si>
  <si>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</si>
  <si>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</si>
  <si>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</si>
  <si>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</si>
  <si>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</si>
  <si>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</si>
  <si>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</si>
  <si>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</si>
  <si>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</si>
  <si>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</si>
  <si>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</si>
  <si>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</si>
  <si>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</si>
  <si>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</si>
  <si>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</si>
  <si>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</si>
  <si>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</si>
  <si>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</si>
  <si>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</si>
  <si>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</si>
  <si>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</si>
  <si>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</si>
  <si>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</si>
  <si>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</si>
  <si>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</si>
  <si>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</si>
  <si>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</si>
  <si>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</si>
  <si>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</si>
  <si>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</si>
  <si>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</si>
  <si>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</si>
  <si>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</si>
  <si>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</si>
  <si>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</si>
  <si>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</si>
  <si>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</si>
  <si>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</si>
  <si>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</si>
  <si>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</si>
  <si>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</si>
  <si>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</si>
  <si>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</si>
  <si>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</si>
  <si>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</si>
  <si>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</si>
  <si>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</si>
  <si>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</si>
  <si>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</si>
  <si>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</si>
  <si>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</si>
  <si>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</si>
  <si>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</si>
  <si>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</si>
  <si>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</si>
  <si>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</si>
  <si>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</si>
  <si>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</si>
  <si>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</si>
  <si>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</si>
  <si>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</si>
  <si>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</si>
  <si>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</si>
  <si>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</si>
  <si>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</si>
  <si>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</si>
  <si>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</si>
  <si>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</si>
  <si>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</si>
  <si>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</si>
  <si>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</si>
  <si>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</si>
  <si>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</si>
  <si>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</si>
  <si>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</si>
  <si>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</si>
  <si>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</si>
  <si>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</si>
  <si>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</si>
  <si>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</si>
  <si>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</si>
  <si>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</si>
  <si>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</si>
  <si>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</si>
  <si>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</si>
  <si>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</si>
  <si>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</si>
  <si>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</si>
  <si>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</si>
  <si>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</si>
  <si>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</si>
  <si>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</si>
  <si>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</si>
  <si>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West Valley Mission CCD</t>
  </si>
  <si>
    <t>San Jose Evergreen CCD</t>
  </si>
  <si>
    <t>East Side Adult Education</t>
  </si>
  <si>
    <t>Santa Clara Adult Education</t>
  </si>
  <si>
    <t>Silicon Valley Adult Education</t>
  </si>
  <si>
    <t>Campbell Adult Education</t>
  </si>
  <si>
    <t>Milpitas Adult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</si>
</sst>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  <numFmt numFmtId="169" formatCode="&quot;$&quot;#,##0.00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0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166" fontId="9" fillId="5" borderId="9" xfId="3" applyNumberFormat="1" applyFont="1" applyFill="1" applyBorder="1" applyAlignment="1" applyProtection="1">
      <alignment horizontal="right" vertical="center"/>
      <protection locked="0" hidden="1"/>
    </xf>
    <xf numFmtId="0" fontId="9" fillId="4" borderId="0" xfId="2" applyFont="1" applyFill="1" applyBorder="1" applyAlignment="1" applyProtection="1">
      <alignment horizontal="right" vertical="center"/>
      <protection locked="0"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 hidden="1"/>
    </xf>
    <xf numFmtId="0" fontId="18" fillId="4" borderId="0" xfId="2" applyFont="1" applyFill="1" applyBorder="1" applyAlignment="1" applyProtection="1">
      <alignment horizontal="right" vertical="center" wrapText="1"/>
      <protection locked="0" hidden="1"/>
    </xf>
    <xf numFmtId="0" fontId="9" fillId="4" borderId="0" xfId="2" applyFont="1" applyFill="1" applyAlignment="1" applyProtection="1">
      <alignment horizontal="right"/>
      <protection locked="0" hidden="1"/>
    </xf>
    <xf numFmtId="166" fontId="10" fillId="5" borderId="27" xfId="3" applyNumberFormat="1" applyFont="1" applyFill="1" applyBorder="1" applyAlignment="1" applyProtection="1">
      <alignment vertical="center"/>
      <protection locked="0" hidden="1"/>
    </xf>
    <xf numFmtId="166" fontId="10" fillId="5" borderId="15" xfId="3" applyNumberFormat="1" applyFont="1" applyFill="1" applyBorder="1" applyAlignment="1" applyProtection="1">
      <alignment vertical="center"/>
      <protection locked="0" hidden="1"/>
    </xf>
    <xf numFmtId="166" fontId="9" fillId="5" borderId="9" xfId="6" applyNumberFormat="1" applyFont="1" applyFill="1" applyBorder="1" applyAlignment="1" applyProtection="1">
      <alignment horizontal="right" vertical="center"/>
      <protection locked="0" hidden="1"/>
    </xf>
    <xf numFmtId="169" fontId="0" fillId="5" borderId="9" xfId="3" applyNumberFormat="1" applyFont="1" applyFill="1" applyBorder="1" applyAlignment="1" applyProtection="1">
      <alignment horizontal="right" vertical="center"/>
      <protection locked="0"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9" fillId="5" borderId="11" xfId="3" applyNumberFormat="1" applyFont="1" applyFill="1" applyBorder="1" applyAlignment="1" applyProtection="1">
      <alignment horizontal="right" vertical="center"/>
      <protection locked="0" hidden="1"/>
    </xf>
    <xf numFmtId="166" fontId="9" fillId="5" borderId="12" xfId="3" applyNumberFormat="1" applyFont="1" applyFill="1" applyBorder="1" applyAlignment="1" applyProtection="1">
      <alignment horizontal="right" vertical="center"/>
      <protection locked="0" hidden="1"/>
    </xf>
    <xf numFmtId="166" fontId="9" fillId="5" borderId="13" xfId="3" applyNumberFormat="1" applyFont="1" applyFill="1" applyBorder="1" applyAlignment="1" applyProtection="1">
      <alignment horizontal="right" vertical="center"/>
      <protection locked="0"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G14" zoomScale="110" zoomScaleNormal="110" workbookViewId="0">
      <selection activeCell="V30" sqref="V3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726562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9</v>
      </c>
      <c r="D11" s="198" t="s">
        <v>88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5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72"/>
      <c r="D15" s="172"/>
      <c r="F15" s="173" t="s">
        <v>81</v>
      </c>
      <c r="G15" s="174"/>
      <c r="H15" s="175"/>
      <c r="I15" s="41"/>
      <c r="J15" s="176" t="s">
        <v>82</v>
      </c>
      <c r="K15" s="177"/>
      <c r="L15" s="178"/>
      <c r="M15" s="41"/>
      <c r="N15" s="176" t="s">
        <v>2</v>
      </c>
      <c r="O15" s="177"/>
      <c r="P15" s="178"/>
      <c r="Q15" s="41"/>
      <c r="R15" s="169" t="s">
        <v>3</v>
      </c>
      <c r="S15" s="41"/>
      <c r="T15" s="169" t="s">
        <v>6</v>
      </c>
      <c r="U15" s="41"/>
      <c r="V15" s="169" t="s">
        <v>4</v>
      </c>
      <c r="W15" s="41"/>
      <c r="X15" s="169" t="s">
        <v>7</v>
      </c>
      <c r="Y15" s="41"/>
      <c r="Z15" s="169" t="s">
        <v>0</v>
      </c>
      <c r="AA15" s="42"/>
    </row>
    <row r="16" spans="1:35" ht="5.15" customHeight="1" x14ac:dyDescent="0.6">
      <c r="A16" s="10"/>
      <c r="B16" s="40"/>
      <c r="C16" s="172"/>
      <c r="D16" s="172"/>
      <c r="F16" s="43"/>
      <c r="J16" s="179"/>
      <c r="K16" s="180"/>
      <c r="L16" s="181"/>
      <c r="N16" s="179"/>
      <c r="O16" s="180"/>
      <c r="P16" s="181"/>
      <c r="R16" s="170"/>
      <c r="T16" s="170"/>
      <c r="V16" s="170"/>
      <c r="X16" s="170"/>
      <c r="Z16" s="170"/>
      <c r="AA16" s="42"/>
    </row>
    <row r="17" spans="1:35" s="45" customFormat="1" ht="29.15" customHeight="1" thickBot="1" x14ac:dyDescent="0.75">
      <c r="B17" s="46"/>
      <c r="C17" s="172"/>
      <c r="D17" s="172"/>
      <c r="E17" s="41"/>
      <c r="F17" s="47" t="s">
        <v>1</v>
      </c>
      <c r="G17" s="41"/>
      <c r="H17" s="47" t="s">
        <v>89</v>
      </c>
      <c r="J17" s="182"/>
      <c r="K17" s="183"/>
      <c r="L17" s="184"/>
      <c r="N17" s="182"/>
      <c r="O17" s="183"/>
      <c r="P17" s="184"/>
      <c r="R17" s="171"/>
      <c r="T17" s="171"/>
      <c r="V17" s="171"/>
      <c r="X17" s="171"/>
      <c r="Z17" s="171"/>
      <c r="AA17" s="48"/>
      <c r="AB17" s="41"/>
    </row>
    <row r="18" spans="1:35" s="16" customFormat="1" ht="5.1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49999999999999" customHeight="1" x14ac:dyDescent="0.6">
      <c r="A19" s="19"/>
      <c r="B19" s="51"/>
      <c r="C19" s="52" t="s">
        <v>91</v>
      </c>
      <c r="D19" s="53"/>
      <c r="E19" s="21"/>
      <c r="F19" s="130">
        <f>SUM(WVMCCD!F21,SJECCD!F21,ESAE!F21,SCAE!F21,SVAE!F21,CAE!F21,MAE!F21,Sheet8!F21,Sheet9!F21,Sheet10!F21,Sheet11!F21,Sheet12!F21,Sheet13!F21,Sheet14!F21,Sheet15!F21,Sheet16!F21,Sheet17!F21,Sheet18!F21,Sheet19!F21,Sheet20!F21)</f>
        <v>3598305</v>
      </c>
      <c r="G19" s="54"/>
      <c r="H19" s="130">
        <f>SUM(WVMCCD!H21,SJECCD!H21,ESAE!H21,SCAE!H21,SVAE!H21,CAE!H21,MAE!H21,Sheet8!H21,Sheet9!H21,Sheet10!H21,Sheet11!H21,Sheet12!H21,Sheet13!H21,Sheet14!H21,Sheet15!H21,Sheet16!H21,Sheet17!H21,Sheet18!H21,Sheet19!H21,Sheet20!H21)</f>
        <v>1425190.65</v>
      </c>
      <c r="I19" s="54"/>
      <c r="J19" s="193">
        <f>SUM(WVMCCD!J21,SJECCD!J21,ESAE!J21,SCAE!J21,SVAE!J21,CAE!J21,MAE!J21,Sheet8!J21,Sheet9!J21,Sheet10!J21,Sheet11!J21,Sheet12!J21,Sheet13!J21,Sheet14!J21,Sheet15!J21,Sheet16!J21,Sheet17!J21,Sheet18!J21,Sheet19!J21,Sheet20!J21)</f>
        <v>848251.24</v>
      </c>
      <c r="K19" s="194"/>
      <c r="L19" s="195"/>
      <c r="M19" s="54"/>
      <c r="N19" s="193">
        <f>SUM(WVMCCD!N21,SJECCD!N21,ESAE!N21,SCAE!N21,SVAE!N21,CAE!N21,MAE!N21,Sheet8!N21,Sheet9!N21,Sheet10!N21,Sheet11!N21,Sheet12!N21,Sheet13!N21,Sheet14!N21,Sheet15!N21,Sheet16!N21,Sheet17!N21,Sheet18!N21,Sheet19!N21,Sheet20!N21)</f>
        <v>0</v>
      </c>
      <c r="O19" s="194"/>
      <c r="P19" s="195"/>
      <c r="Q19" s="54"/>
      <c r="R19" s="130">
        <f>SUM(WVMCCD!R21,SJECCD!R21,ESAE!R21,SCAE!R21,SVAE!R21,CAE!R21,MAE!R21,Sheet8!R21,Sheet9!R21,Sheet10!R21,Sheet11!R21,Sheet12!R21,Sheet13!R21,Sheet14!R21,Sheet15!R21,Sheet16!R21,Sheet17!R21,Sheet18!R21,Sheet19!R21,Sheet20!R21)</f>
        <v>1067050.915</v>
      </c>
      <c r="S19" s="54"/>
      <c r="T19" s="130">
        <f>SUM(WVMCCD!T21,SJECCD!T21,ESAE!T21,SCAE!T21,SVAE!T21,CAE!T21,MAE!T21,Sheet8!T21,Sheet9!T21,Sheet10!T21,Sheet11!T21,Sheet12!T21,Sheet13!T21,Sheet14!T21,Sheet15!T21,Sheet16!T21,Sheet17!T21,Sheet18!T21,Sheet19!T21,Sheet20!T21)</f>
        <v>0</v>
      </c>
      <c r="U19" s="54"/>
      <c r="V19" s="130">
        <f>SUM(WVMCCD!V21,SJECCD!V21,ESAE!V21,SCAE!V21,SVAE!V21,CAE!V21,MAE!V21,Sheet8!V21,Sheet9!V21,Sheet10!V21,Sheet11!V21,Sheet12!V21,Sheet13!V21,Sheet14!V21,Sheet15!V21,Sheet16!V21,Sheet17!V21,Sheet18!V21,Sheet19!V21,Sheet20!V21)</f>
        <v>12845769.060000001</v>
      </c>
      <c r="W19" s="54"/>
      <c r="X19" s="130">
        <f>SUM(WVMCCD!X21,SJECCD!X21,ESAE!X21,SCAE!X21,SVAE!X21,CAE!X21,MAE!X21,Sheet8!X21,Sheet9!X21,Sheet10!X21,Sheet11!X21,Sheet12!X21,Sheet13!X21,Sheet14!X21,Sheet15!X21,Sheet16!X21,Sheet17!X21,Sheet18!X21,Sheet19!X21,Sheet20!X21)</f>
        <v>2032800</v>
      </c>
      <c r="Y19" s="54"/>
      <c r="Z19" s="131">
        <f>SUM(F19:X19)</f>
        <v>21817366.865000002</v>
      </c>
      <c r="AA19" s="56"/>
      <c r="AB19" s="57"/>
    </row>
    <row r="20" spans="1:35" ht="5.1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49999999999999" customHeight="1" x14ac:dyDescent="0.6">
      <c r="A21" s="19"/>
      <c r="B21" s="51"/>
      <c r="C21" s="52" t="s">
        <v>94</v>
      </c>
      <c r="D21" s="53"/>
      <c r="E21" s="21"/>
      <c r="F21" s="130">
        <f>SUM(WVMCCD!F23,SJECCD!F23,ESAE!F23,SCAE!F23,SVAE!F23,CAE!F23,MAE!F23,Sheet8!F23,Sheet9!F23,Sheet10!F23,Sheet11!F23,Sheet12!F23,Sheet13!F23,Sheet14!F23,Sheet15!F23,Sheet16!F23,Sheet17!F23,Sheet18!F23,Sheet19!F23,Sheet20!F23)</f>
        <v>6731186</v>
      </c>
      <c r="G21" s="54"/>
      <c r="H21" s="130">
        <f>SUM(WVMCCD!H23,SJECCD!H23,ESAE!H23,SCAE!H23,SVAE!H23,CAE!H23,MAE!H23,Sheet8!H23,Sheet9!H23,Sheet10!H23,Sheet11!H23,Sheet12!H23,Sheet13!H23,Sheet14!H23,Sheet15!H23,Sheet16!H23,Sheet17!H23,Sheet18!H23,Sheet19!H23,Sheet20!H23)</f>
        <v>1797866.6</v>
      </c>
      <c r="I21" s="54"/>
      <c r="J21" s="193">
        <f>SUM(WVMCCD!J23,SJECCD!J23,ESAE!J23,SCAE!J23,SVAE!J23,CAE!J23,MAE!J23,Sheet8!J23,Sheet9!J23,Sheet10!J23,Sheet11!J23,Sheet12!J23,Sheet13!J23,Sheet14!J23,Sheet15!J23,Sheet16!J23,Sheet17!J23,Sheet18!J23,Sheet19!J23,Sheet20!J23)</f>
        <v>1196933.76</v>
      </c>
      <c r="K21" s="194"/>
      <c r="L21" s="195"/>
      <c r="M21" s="54"/>
      <c r="N21" s="193">
        <f>SUM(WVMCCD!N23,SJECCD!N23,ESAE!N23,SCAE!N23,SVAE!N23,CAE!N23,MAE!N23,Sheet8!N23,Sheet9!N23,Sheet10!N23,Sheet11!N23,Sheet12!N23,Sheet13!N23,Sheet14!N23,Sheet15!N23,Sheet16!N23,Sheet17!N23,Sheet18!N23,Sheet19!N23,Sheet20!N23)</f>
        <v>0</v>
      </c>
      <c r="O21" s="194"/>
      <c r="P21" s="195"/>
      <c r="Q21" s="54"/>
      <c r="R21" s="130">
        <f>SUM(WVMCCD!R23,SJECCD!R23,ESAE!R23,SCAE!R23,SVAE!R23,CAE!R23,MAE!R23,Sheet8!R23,Sheet9!R23,Sheet10!R23,Sheet11!R23,Sheet12!R23,Sheet13!R23,Sheet14!R23,Sheet15!R23,Sheet16!R23,Sheet17!R23,Sheet18!R23,Sheet19!R23,Sheet20!R23)</f>
        <v>452499.35</v>
      </c>
      <c r="S21" s="54"/>
      <c r="T21" s="130">
        <f>SUM(WVMCCD!T23,SJECCD!T23,ESAE!T23,SCAE!T23,SVAE!T23,CAE!T23,MAE!T23,Sheet8!T23,Sheet9!T23,Sheet10!T23,Sheet11!T23,Sheet12!T23,Sheet13!T23,Sheet14!T23,Sheet15!T23,Sheet16!T23,Sheet17!T23,Sheet18!T23,Sheet19!T23,Sheet20!T23)</f>
        <v>0</v>
      </c>
      <c r="U21" s="54"/>
      <c r="V21" s="130">
        <f>SUM(WVMCCD!V23,SJECCD!V23,ESAE!V23,SCAE!V23,SVAE!V23,CAE!V23,MAE!V23,Sheet8!V23,Sheet9!V23,Sheet10!V23,Sheet11!V23,Sheet12!V23,Sheet13!V23,Sheet14!V23,Sheet15!V23,Sheet16!V23,Sheet17!V23,Sheet18!V23,Sheet19!V23,Sheet20!V23)</f>
        <v>6559158.4000000004</v>
      </c>
      <c r="W21" s="54"/>
      <c r="X21" s="130">
        <f>SUM(WVMCCD!X23,SJECCD!X23,ESAE!X23,SCAE!X23,SVAE!X23,CAE!X23,MAE!X23,Sheet8!X23,Sheet9!X23,Sheet10!X23,Sheet11!X23,Sheet12!X23,Sheet13!X23,Sheet14!X23,Sheet15!X23,Sheet16!X23,Sheet17!X23,Sheet18!X23,Sheet19!X23,Sheet20!X23)</f>
        <v>132000</v>
      </c>
      <c r="Y21" s="54"/>
      <c r="Z21" s="131">
        <f>SUM(F21:X21)</f>
        <v>16869644.109999999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52" t="s">
        <v>112</v>
      </c>
      <c r="D23" s="53"/>
      <c r="E23" s="21"/>
      <c r="F23" s="130">
        <f>SUM(WVMCCD!F25,SJECCD!F25,ESAE!F25,SCAE!F25,SVAE!F25,CAE!F25,MAE!F25,Sheet8!F25,Sheet9!F25,Sheet10!F25,Sheet11!F25,Sheet12!F25,Sheet13!F25,Sheet14!F25,Sheet15!F25,Sheet16!F25,Sheet17!F25,Sheet18!F25,Sheet19!F25,Sheet20!F25)</f>
        <v>119740</v>
      </c>
      <c r="G23" s="54"/>
      <c r="H23" s="130">
        <f>SUM(WVMCCD!H25,SJECCD!H25,ESAE!H25,SCAE!H25,SVAE!H25,CAE!H25,MAE!H25,Sheet8!H25,Sheet9!H25,Sheet10!H25,Sheet11!H25,Sheet12!H25,Sheet13!H25,Sheet14!H25,Sheet15!H25,Sheet16!H25,Sheet17!H25,Sheet18!H25,Sheet19!H25,Sheet20!H25)</f>
        <v>8230</v>
      </c>
      <c r="I23" s="54"/>
      <c r="J23" s="193">
        <f>SUM(WVMCCD!J25,SJECCD!J25,ESAE!J25,SCAE!J25,SVAE!J25,CAE!J25,MAE!J25,Sheet8!J25,Sheet9!J25,Sheet10!J25,Sheet11!J25,Sheet12!J25,Sheet13!J25,Sheet14!J25,Sheet15!J25,Sheet16!J25,Sheet17!J25,Sheet18!J25,Sheet19!J25,Sheet20!J25)</f>
        <v>0</v>
      </c>
      <c r="K23" s="194"/>
      <c r="L23" s="195"/>
      <c r="M23" s="54"/>
      <c r="N23" s="193">
        <f>SUM(WVMCCD!N25,SJECCD!N25,ESAE!N25,SCAE!N25,SVAE!N25,CAE!N25,MAE!N25,Sheet8!N25,Sheet9!N25,Sheet10!N25,Sheet11!N25,Sheet12!N25,Sheet13!N25,Sheet14!N25,Sheet15!N25,Sheet16!N25,Sheet17!N25,Sheet18!N25,Sheet19!N25,Sheet20!N25)</f>
        <v>0</v>
      </c>
      <c r="O23" s="194"/>
      <c r="P23" s="195"/>
      <c r="Q23" s="54"/>
      <c r="R23" s="130">
        <f>SUM(WVMCCD!R25,SJECCD!R25,ESAE!R25,SCAE!R25,SVAE!R25,CAE!R25,MAE!R25,Sheet8!R25,Sheet9!R25,Sheet10!R25,Sheet11!R25,Sheet12!R25,Sheet13!R25,Sheet14!R25,Sheet15!R25,Sheet16!R25,Sheet17!R25,Sheet18!R25,Sheet19!R25,Sheet20!R25)</f>
        <v>31526</v>
      </c>
      <c r="S23" s="54"/>
      <c r="T23" s="130">
        <f>SUM(WVMCCD!T25,SJECCD!T25,ESAE!T25,SCAE!T25,SVAE!T25,CAE!T25,MAE!T25,Sheet8!T25,Sheet9!T25,Sheet10!T25,Sheet11!T25,Sheet12!T25,Sheet13!T25,Sheet14!T25,Sheet15!T25,Sheet16!T25,Sheet17!T25,Sheet18!T25,Sheet19!T25,Sheet20!T25)</f>
        <v>0</v>
      </c>
      <c r="U23" s="54"/>
      <c r="V23" s="130">
        <f>SUM(WVMCCD!V25,SJECCD!V25,ESAE!V25,SCAE!V25,SVAE!V25,CAE!V25,MAE!V25,Sheet8!V25,Sheet9!V25,Sheet10!V25,Sheet11!V25,Sheet12!V25,Sheet13!V25,Sheet14!V25,Sheet15!V25,Sheet16!V25,Sheet17!V25,Sheet18!V25,Sheet19!V25,Sheet20!V25)</f>
        <v>0</v>
      </c>
      <c r="W23" s="54"/>
      <c r="X23" s="130">
        <f>SUM(WVMCCD!X25,SJECCD!X25,ESAE!X25,SCAE!X25,SVAE!X25,CAE!X25,MAE!X25,Sheet8!X25,Sheet9!X25,Sheet10!X25,Sheet11!X25,Sheet12!X25,Sheet13!X25,Sheet14!X25,Sheet15!X25,Sheet16!X25,Sheet17!X25,Sheet18!X25,Sheet19!X25,Sheet20!X25)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159496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52" t="s">
        <v>113</v>
      </c>
      <c r="D25" s="53"/>
      <c r="E25" s="21"/>
      <c r="F25" s="130">
        <f>SUM(WVMCCD!F27,SJECCD!F27,ESAE!F27,SCAE!F27,SVAE!F27,CAE!F27,MAE!F27,Sheet8!F27,Sheet9!F27,Sheet10!F27,Sheet11!F27,Sheet12!F27,Sheet13!F27,Sheet14!F27,Sheet15!F27,Sheet16!F27,Sheet17!F27,Sheet18!F27,Sheet19!F27,Sheet20!F27)</f>
        <v>0</v>
      </c>
      <c r="G25" s="54"/>
      <c r="H25" s="130">
        <f>SUM(WVMCCD!H27,SJECCD!H27,ESAE!H27,SCAE!H27,SVAE!H27,CAE!H27,MAE!H27,Sheet8!H27,Sheet9!H27,Sheet10!H27,Sheet11!H27,Sheet12!H27,Sheet13!H27,Sheet14!H27,Sheet15!H27,Sheet16!H27,Sheet17!H27,Sheet18!H27,Sheet19!H27,Sheet20!H27)</f>
        <v>8230</v>
      </c>
      <c r="I25" s="54"/>
      <c r="J25" s="193">
        <f>SUM(WVMCCD!J27,SJECCD!J27,ESAE!J27,SCAE!J27,SVAE!J27,CAE!J27,MAE!J27,Sheet8!J27,Sheet9!J27,Sheet10!J27,Sheet11!J27,Sheet12!J27,Sheet13!J27,Sheet14!J27,Sheet15!J27,Sheet16!J27,Sheet17!J27,Sheet18!J27,Sheet19!J27,Sheet20!J27)</f>
        <v>0</v>
      </c>
      <c r="K25" s="194"/>
      <c r="L25" s="195"/>
      <c r="M25" s="54"/>
      <c r="N25" s="193">
        <f>SUM(WVMCCD!N27,SJECCD!N27,ESAE!N27,SCAE!N27,SVAE!N27,CAE!N27,MAE!N27,Sheet8!N27,Sheet9!N27,Sheet10!N27,Sheet11!N27,Sheet12!N27,Sheet13!N27,Sheet14!N27,Sheet15!N27,Sheet16!N27,Sheet17!N27,Sheet18!N27,Sheet19!N27,Sheet20!N27)</f>
        <v>0</v>
      </c>
      <c r="O25" s="194"/>
      <c r="P25" s="195"/>
      <c r="Q25" s="54"/>
      <c r="R25" s="130">
        <f>SUM(WVMCCD!R27,SJECCD!R27,ESAE!R27,SCAE!R27,SVAE!R27,CAE!R27,MAE!R27,Sheet8!R27,Sheet9!R27,Sheet10!R27,Sheet11!R27,Sheet12!R27,Sheet13!R27,Sheet14!R27,Sheet15!R27,Sheet16!R27,Sheet17!R27,Sheet18!R27,Sheet19!R27,Sheet20!R27)</f>
        <v>0</v>
      </c>
      <c r="S25" s="54"/>
      <c r="T25" s="130">
        <f>SUM(WVMCCD!T27,SJECCD!T27,ESAE!T27,SCAE!T27,SVAE!T27,CAE!T27,MAE!T27,Sheet8!T27,Sheet9!T27,Sheet10!T27,Sheet11!T27,Sheet12!T27,Sheet13!T27,Sheet14!T27,Sheet15!T27,Sheet16!T27,Sheet17!T27,Sheet18!T27,Sheet19!T27,Sheet20!T27)</f>
        <v>0</v>
      </c>
      <c r="U25" s="54"/>
      <c r="V25" s="130">
        <f>SUM(WVMCCD!V27,SJECCD!V27,ESAE!V27,SCAE!V27,SVAE!V27,CAE!V27,MAE!V27,Sheet8!V27,Sheet9!V27,Sheet10!V27,Sheet11!V27,Sheet12!V27,Sheet13!V27,Sheet14!V27,Sheet15!V27,Sheet16!V27,Sheet17!V27,Sheet18!V27,Sheet19!V27,Sheet20!V27)</f>
        <v>0</v>
      </c>
      <c r="W25" s="54"/>
      <c r="X25" s="130">
        <f>SUM(WVMCCD!X27,SJECCD!X27,ESAE!X27,SCAE!X27,SVAE!X27,CAE!X27,MAE!X27,Sheet8!X27,Sheet9!X27,Sheet10!X27,Sheet11!X27,Sheet12!X27,Sheet13!X27,Sheet14!X27,Sheet15!X27,Sheet16!X27,Sheet17!X27,Sheet18!X27,Sheet19!X27,Sheet20!X27)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8230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52" t="s">
        <v>114</v>
      </c>
      <c r="D27" s="53"/>
      <c r="E27" s="21"/>
      <c r="F27" s="130">
        <f>SUM(WVMCCD!F29,SJECCD!F29,ESAE!F29,SCAE!F29,SVAE!F29,CAE!F29,MAE!F29,Sheet8!F29,Sheet9!F29,Sheet10!F29,Sheet11!F29,Sheet12!F29,Sheet13!F29,Sheet14!F29,Sheet15!F29,Sheet16!F29,Sheet17!F29,Sheet18!F29,Sheet19!F29,Sheet20!F29)</f>
        <v>110256</v>
      </c>
      <c r="G27" s="54"/>
      <c r="H27" s="130">
        <f>SUM(WVMCCD!H29,SJECCD!H29,ESAE!H29,SCAE!H29,SVAE!H29,CAE!H29,MAE!H29,Sheet8!H29,Sheet9!H29,Sheet10!H29,Sheet11!H29,Sheet12!H29,Sheet13!H29,Sheet14!H29,Sheet15!H29,Sheet16!H29,Sheet17!H29,Sheet18!H29,Sheet19!H29,Sheet20!H29)</f>
        <v>285952</v>
      </c>
      <c r="I27" s="54"/>
      <c r="J27" s="193">
        <f>SUM(WVMCCD!J29,SJECCD!J29,ESAE!J29,SCAE!J29,SVAE!J29,CAE!J29,MAE!J29,Sheet8!J29,Sheet9!J29,Sheet10!J29,Sheet11!J29,Sheet12!J29,Sheet13!J29,Sheet14!J29,Sheet15!J29,Sheet16!J29,Sheet17!J29,Sheet18!J29,Sheet19!J29,Sheet20!J29)</f>
        <v>0</v>
      </c>
      <c r="K27" s="194"/>
      <c r="L27" s="195"/>
      <c r="M27" s="54"/>
      <c r="N27" s="193">
        <f>SUM(WVMCCD!N29,SJECCD!N29,ESAE!N29,SCAE!N29,SVAE!N29,CAE!N29,MAE!N29,Sheet8!N29,Sheet9!N29,Sheet10!N29,Sheet11!N29,Sheet12!N29,Sheet13!N29,Sheet14!N29,Sheet15!N29,Sheet16!N29,Sheet17!N29,Sheet18!N29,Sheet19!N29,Sheet20!N29)</f>
        <v>0</v>
      </c>
      <c r="O27" s="194"/>
      <c r="P27" s="195"/>
      <c r="Q27" s="54"/>
      <c r="R27" s="130">
        <f>SUM(WVMCCD!R29,SJECCD!R29,ESAE!R29,SCAE!R29,SVAE!R29,CAE!R29,MAE!R29,Sheet8!R29,Sheet9!R29,Sheet10!R29,Sheet11!R29,Sheet12!R29,Sheet13!R29,Sheet14!R29,Sheet15!R29,Sheet16!R29,Sheet17!R29,Sheet18!R29,Sheet19!R29,Sheet20!R29)</f>
        <v>275630.69999999995</v>
      </c>
      <c r="S27" s="54"/>
      <c r="T27" s="130">
        <f>SUM(WVMCCD!T29,SJECCD!T29,ESAE!T29,SCAE!T29,SVAE!T29,CAE!T29,MAE!T29,Sheet8!T29,Sheet9!T29,Sheet10!T29,Sheet11!T29,Sheet12!T29,Sheet13!T29,Sheet14!T29,Sheet15!T29,Sheet16!T29,Sheet17!T29,Sheet18!T29,Sheet19!T29,Sheet20!T29)</f>
        <v>0</v>
      </c>
      <c r="U27" s="54"/>
      <c r="V27" s="130">
        <f>SUM(WVMCCD!V29,SJECCD!V29,ESAE!V29,SCAE!V29,SVAE!V29,CAE!V29,MAE!V29,Sheet8!V29,Sheet9!V29,Sheet10!V29,Sheet11!V29,Sheet12!V29,Sheet13!V29,Sheet14!V29,Sheet15!V29,Sheet16!V29,Sheet17!V29,Sheet18!V29,Sheet19!V29,Sheet20!V29)</f>
        <v>268973.72000000003</v>
      </c>
      <c r="W27" s="54"/>
      <c r="X27" s="130">
        <f>SUM(WVMCCD!X29,SJECCD!X29,ESAE!X29,SCAE!X29,SVAE!X29,CAE!X29,MAE!X29,Sheet8!X29,Sheet9!X29,Sheet10!X29,Sheet11!X29,Sheet12!X29,Sheet13!X29,Sheet14!X29,Sheet15!X29,Sheet16!X29,Sheet17!X29,Sheet18!X29,Sheet19!X29,Sheet20!X29)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940812.41999999993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52" t="s">
        <v>115</v>
      </c>
      <c r="D29" s="53"/>
      <c r="E29" s="21"/>
      <c r="F29" s="130">
        <f>SUM(WVMCCD!F31,SJECCD!F31,ESAE!F31,SCAE!F31,SVAE!F31,CAE!F31,MAE!F31,Sheet8!F31,Sheet9!F31,Sheet10!F31,Sheet11!F31,Sheet12!F31,Sheet13!F31,Sheet14!F31,Sheet15!F31,Sheet16!F31,Sheet17!F31,Sheet18!F31,Sheet19!F31,Sheet20!F31)</f>
        <v>1282517</v>
      </c>
      <c r="G29" s="54"/>
      <c r="H29" s="130">
        <f>SUM(WVMCCD!H31,SJECCD!H31,ESAE!H31,SCAE!H31,SVAE!H31,CAE!H31,MAE!H31,Sheet8!H31,Sheet9!H31,Sheet10!H31,Sheet11!H31,Sheet12!H31,Sheet13!H31,Sheet14!H31,Sheet15!H31,Sheet16!H31,Sheet17!H31,Sheet18!H31,Sheet19!H31,Sheet20!H31)</f>
        <v>958167.1</v>
      </c>
      <c r="I29" s="54"/>
      <c r="J29" s="193">
        <f>SUM(WVMCCD!J31,SJECCD!J31,ESAE!J31,SCAE!J31,SVAE!J31,CAE!J31,MAE!J31,Sheet8!J31,Sheet9!J31,Sheet10!J31,Sheet11!J31,Sheet12!J31,Sheet13!J31,Sheet14!J31,Sheet15!J31,Sheet16!J31,Sheet17!J31,Sheet18!J31,Sheet19!J31,Sheet20!J31)</f>
        <v>0</v>
      </c>
      <c r="K29" s="194"/>
      <c r="L29" s="195"/>
      <c r="M29" s="54"/>
      <c r="N29" s="193">
        <f>SUM(WVMCCD!N31,SJECCD!N31,ESAE!N31,SCAE!N31,SVAE!N31,CAE!N31,MAE!N31,Sheet8!N31,Sheet9!N31,Sheet10!N31,Sheet11!N31,Sheet12!N31,Sheet13!N31,Sheet14!N31,Sheet15!N31,Sheet16!N31,Sheet17!N31,Sheet18!N31,Sheet19!N31,Sheet20!N31)</f>
        <v>40843</v>
      </c>
      <c r="O29" s="194"/>
      <c r="P29" s="195"/>
      <c r="Q29" s="54"/>
      <c r="R29" s="130">
        <f>SUM(WVMCCD!R31,SJECCD!R31,ESAE!R31,SCAE!R31,SVAE!R31,CAE!R31,MAE!R31,Sheet8!R31,Sheet9!R31,Sheet10!R31,Sheet11!R31,Sheet12!R31,Sheet13!R31,Sheet14!R31,Sheet15!R31,Sheet16!R31,Sheet17!R31,Sheet18!R31,Sheet19!R31,Sheet20!R31)</f>
        <v>496076.25</v>
      </c>
      <c r="S29" s="54"/>
      <c r="T29" s="130">
        <f>SUM(WVMCCD!T31,SJECCD!T31,ESAE!T31,SCAE!T31,SVAE!T31,CAE!T31,MAE!T31,Sheet8!T31,Sheet9!T31,Sheet10!T31,Sheet11!T31,Sheet12!T31,Sheet13!T31,Sheet14!T31,Sheet15!T31,Sheet16!T31,Sheet17!T31,Sheet18!T31,Sheet19!T31,Sheet20!T31)</f>
        <v>0</v>
      </c>
      <c r="U29" s="54"/>
      <c r="V29" s="130">
        <f>SUM(SJECCD!V31,SJECCD!V31,ESAE!V31,SCAE!V31,SVAE!V31,CAE!V31,MAE!V31,Sheet8!V31,Sheet9!V31,Sheet10!V31,Sheet11!V31,Sheet12!V31,Sheet13!V31,Sheet14!V31,Sheet15!V31,Sheet16!V31,Sheet17!V31,Sheet18!V31,Sheet19!V31,Sheet20!V31)</f>
        <v>455742.16000000003</v>
      </c>
      <c r="W29" s="54"/>
      <c r="X29" s="130">
        <f>SUM(WVMCCD!X31,SJECCD!X31,ESAE!X31,SCAE!X31,SVAE!X31,CAE!X31,MAE!X31,Sheet8!X31,Sheet9!X31,Sheet10!X31,Sheet11!X31,Sheet12!X31,Sheet13!X31,Sheet14!X31,Sheet15!X31,Sheet16!X31,Sheet17!X31,Sheet18!X31,Sheet19!X31,Sheet20!X31)</f>
        <v>475200</v>
      </c>
      <c r="Y29" s="54"/>
      <c r="Z29" s="131">
        <f>SUM(F29:X29)</f>
        <v>3708545.5100000002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52" t="s">
        <v>116</v>
      </c>
      <c r="D31" s="53"/>
      <c r="E31" s="21"/>
      <c r="F31" s="130">
        <f>SUM(WVMCCD!F33,SJECCD!F33,ESAE!F33,SCAE!F33,SVAE!F33,CAE!F33,MAE!F33,Sheet8!F33,Sheet9!F33,Sheet10!F33,Sheet11!F33,Sheet12!F33,Sheet13!F33,Sheet14!F33,Sheet15!F33,Sheet16!F33,Sheet17!F33,Sheet18!F33,Sheet19!F33,Sheet20!F33)</f>
        <v>0</v>
      </c>
      <c r="G31" s="54"/>
      <c r="H31" s="130">
        <f>SUM(WVMCCD!H33,SJECCD!H33,ESAE!H33,SCAE!H33,SVAE!H33,CAE!H33,MAE!H33,Sheet8!H33,Sheet9!H33,Sheet10!H33,Sheet11!H33,Sheet12!H33,Sheet13!H33,Sheet14!H33,Sheet15!H33,Sheet16!H33,Sheet17!H33,Sheet18!H33,Sheet19!H33,Sheet20!H33)</f>
        <v>92206</v>
      </c>
      <c r="I31" s="54"/>
      <c r="J31" s="193">
        <f>SUM(WVMCCD!J33,SJECCD!J33,ESAE!J33,SCAE!J33,SVAE!J33,CAE!J33,MAE!J33,Sheet8!J33,Sheet9!J33,Sheet10!J33,Sheet11!J33,Sheet12!J33,Sheet13!J33,Sheet14!J33,Sheet15!J33,Sheet16!J33,Sheet17!J33,Sheet18!J33,Sheet19!J33,Sheet20!J33)</f>
        <v>0</v>
      </c>
      <c r="K31" s="194"/>
      <c r="L31" s="195"/>
      <c r="M31" s="54"/>
      <c r="N31" s="193">
        <f>SUM(WVMCCD!N33,SJECCD!N33,ESAE!N33,SCAE!N33,SVAE!N33,CAE!N33,MAE!N33,Sheet8!N33,Sheet9!N33,Sheet10!N33,Sheet11!N33,Sheet12!N33,Sheet13!N33,Sheet14!N33,Sheet15!N33,Sheet16!N33,Sheet17!N33,Sheet18!N33,Sheet19!N33,Sheet20!N33)</f>
        <v>0</v>
      </c>
      <c r="O31" s="194"/>
      <c r="P31" s="195"/>
      <c r="Q31" s="54"/>
      <c r="R31" s="130">
        <f>SUM(WVMCCD!R33,SJECCD!R33,ESAE!R33,SCAE!R33,SVAE!R33,CAE!R33,MAE!R33,Sheet8!R33,Sheet9!R33,Sheet10!R33,Sheet11!R33,Sheet12!R33,Sheet13!R33,Sheet14!R33,Sheet15!R33,Sheet16!R33,Sheet17!R33,Sheet18!R33,Sheet19!R33,Sheet20!R33)</f>
        <v>0</v>
      </c>
      <c r="S31" s="54"/>
      <c r="T31" s="130">
        <f>SUM(WVMCCD!T33,SJECCD!T33,ESAE!T33,SCAE!T33,SVAE!T33,CAE!T33,MAE!T33,Sheet8!T33,Sheet9!T33,Sheet10!T33,Sheet11!T33,Sheet12!T33,Sheet13!T33,Sheet14!T33,Sheet15!T33,Sheet16!T33,Sheet17!T33,Sheet18!T33,Sheet19!T33,Sheet20!T33)</f>
        <v>0</v>
      </c>
      <c r="U31" s="54"/>
      <c r="V31" s="130">
        <f>SUM(WVMCCD!V33,SJECCD!V33,ESAE!V33,SCAE!V33,SVAE!V33,CAE!V33,MAE!V33,Sheet8!V33,Sheet9!V33,Sheet10!V33,Sheet11!V33,Sheet12!V33,Sheet13!V33,Sheet14!V33,Sheet15!V33,Sheet16!V33,Sheet17!V33,Sheet18!V33,Sheet19!V33,Sheet20!V33)</f>
        <v>0</v>
      </c>
      <c r="W31" s="54"/>
      <c r="X31" s="130">
        <f>SUM(WVMCCD!X33,SJECCD!X33,ESAE!X33,SCAE!X33,SVAE!X33,CAE!X33,MAE!X33,Sheet8!X33,Sheet9!X33,Sheet10!X33,Sheet11!X33,Sheet12!X33,Sheet13!X33,Sheet14!X33,Sheet15!X33,Sheet16!X33,Sheet17!X33,Sheet18!X33,Sheet19!X33,Sheet20!X33)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92206</v>
      </c>
      <c r="AA31" s="56"/>
      <c r="AB31" s="57"/>
    </row>
    <row r="32" spans="1:35" ht="5.15" customHeight="1" thickBot="1" x14ac:dyDescent="0.8">
      <c r="A32" s="13"/>
      <c r="B32" s="49"/>
      <c r="C32" s="157"/>
      <c r="D32" s="157"/>
      <c r="E32" s="14"/>
      <c r="F32" s="63"/>
      <c r="G32" s="10"/>
      <c r="H32" s="63"/>
      <c r="I32" s="10"/>
      <c r="J32" s="158"/>
      <c r="K32" s="158"/>
      <c r="L32" s="158"/>
      <c r="M32" s="10"/>
      <c r="N32" s="158"/>
      <c r="O32" s="158"/>
      <c r="P32" s="158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59" t="s">
        <v>0</v>
      </c>
      <c r="D33" s="160"/>
      <c r="E33" s="57"/>
      <c r="F33" s="132">
        <f>SUM(F19:F31)</f>
        <v>11842004</v>
      </c>
      <c r="G33" s="21"/>
      <c r="H33" s="132">
        <f>SUM(H19:H31)</f>
        <v>4575842.3499999996</v>
      </c>
      <c r="I33" s="57"/>
      <c r="J33" s="185">
        <f>SUM(J19:L31)</f>
        <v>2045185</v>
      </c>
      <c r="K33" s="186"/>
      <c r="L33" s="187"/>
      <c r="M33" s="57"/>
      <c r="N33" s="161">
        <f>SUM(N19:P31)</f>
        <v>40843</v>
      </c>
      <c r="O33" s="162"/>
      <c r="P33" s="163"/>
      <c r="Q33" s="57"/>
      <c r="R33" s="132">
        <f>SUM(R19:R31)</f>
        <v>2322783.2149999999</v>
      </c>
      <c r="S33" s="57"/>
      <c r="T33" s="132">
        <f>SUM(T19:T31)</f>
        <v>0</v>
      </c>
      <c r="U33" s="57"/>
      <c r="V33" s="133">
        <f>SUM(V19:V31)</f>
        <v>20129643.34</v>
      </c>
      <c r="W33" s="57"/>
      <c r="X33" s="133">
        <f>SUM(X19:X31)</f>
        <v>2640000</v>
      </c>
      <c r="Y33" s="57"/>
      <c r="Z33" s="133">
        <f>SUM(Z19:Z31)</f>
        <v>43596300.905000001</v>
      </c>
      <c r="AA33" s="56"/>
      <c r="AB33" s="57"/>
    </row>
    <row r="34" spans="1:35" ht="11.15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6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5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5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9" t="s">
        <v>106</v>
      </c>
      <c r="G39" s="41"/>
      <c r="H39" s="189" t="s">
        <v>102</v>
      </c>
      <c r="I39" s="190"/>
      <c r="J39" s="191"/>
      <c r="K39" s="41"/>
      <c r="L39" s="189" t="s">
        <v>105</v>
      </c>
      <c r="M39" s="190"/>
      <c r="N39" s="191"/>
      <c r="O39" s="42"/>
      <c r="R39" s="192"/>
      <c r="S39" s="192"/>
      <c r="T39" s="192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15" customHeight="1" x14ac:dyDescent="0.65">
      <c r="A40" s="13"/>
      <c r="B40" s="40"/>
      <c r="C40" s="10"/>
      <c r="E40" s="78"/>
      <c r="F40" s="170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92"/>
      <c r="S40" s="192"/>
      <c r="T40" s="192"/>
    </row>
    <row r="41" spans="1:35" ht="13.75" thickBot="1" x14ac:dyDescent="0.75">
      <c r="A41" s="11"/>
      <c r="B41" s="40"/>
      <c r="C41" s="80"/>
      <c r="D41" s="81"/>
      <c r="E41" s="41"/>
      <c r="F41" s="171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92"/>
      <c r="S41" s="192"/>
      <c r="T41" s="192"/>
    </row>
    <row r="42" spans="1:35" ht="5.1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.149999999999999" customHeight="1" x14ac:dyDescent="0.6">
      <c r="A43" s="84"/>
      <c r="B43" s="85"/>
      <c r="C43" s="52" t="s">
        <v>111</v>
      </c>
      <c r="D43" s="53"/>
      <c r="E43" s="83"/>
      <c r="F43" s="130">
        <f>SUM(WVMCCD!F44,SJECCD!F44,ESAE!F44,SCAE!F44,SVAE!F44,CAE!F44,MAE!F44,Sheet8!F44,Sheet9!F44,Sheet10!F44,Sheet11!F44,Sheet12!F44,Sheet13!F44,Sheet14!F44,Sheet15!F44,Sheet16!F44,Sheet17!F44,Sheet18!F44,Sheet19!F44,Sheet20!F44)</f>
        <v>11841905</v>
      </c>
      <c r="G43" s="54"/>
      <c r="H43" s="130">
        <f>SUM(WVMCCD!H44,SJECCD!H44,ESAE!H44,SCAE!H44,SVAE!H44,CAE!H44,MAE!H44,Sheet8!H44,Sheet9!H44,Sheet10!H44,Sheet11!H44,Sheet12!H44,Sheet13!H44,Sheet14!H44,Sheet15!H44,Sheet16!H44,Sheet17!H44,Sheet18!H44,Sheet19!H44,Sheet20!H44)</f>
        <v>598635.9595</v>
      </c>
      <c r="I43" s="86"/>
      <c r="J43" s="141">
        <f>IFERROR(H43/F43,0)</f>
        <v>5.0552335920614123E-2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SUM(WVMCCD!F46,SJECCD!F46,ESAE!F46,SCAE!F46,SVAE!F46,CAE!F46,MAE!F46,Sheet8!F46,Sheet9!F46,Sheet10!F46,Sheet11!F46,Sheet12!F46,Sheet13!F46,Sheet14!F46,Sheet15!F46,Sheet16!F46,Sheet17!F46,Sheet18!F46,Sheet19!F46,Sheet20!F46)</f>
        <v>4575842</v>
      </c>
      <c r="G45" s="54"/>
      <c r="J45" s="143"/>
      <c r="K45" s="86"/>
      <c r="L45" s="130">
        <f>SUM(WVMCCD!L46,SJECCD!L46,ESAE!L46,SCAE!L46,SVAE!L46,CAE!L46,MAE!L46,Sheet8!L46,Sheet9!L46,Sheet10!L46,Sheet11!L46,Sheet12!L46,Sheet13!L46,Sheet14!L46,Sheet15!L46,Sheet16!L46,Sheet17!L46,Sheet18!L46,Sheet19!L46,Sheet20!L46)</f>
        <v>228796</v>
      </c>
      <c r="M45" s="87"/>
      <c r="N45" s="141">
        <f>IFERROR(L45/F45,0)</f>
        <v>5.0000852302155535E-2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15" customHeight="1" thickBot="1" x14ac:dyDescent="0.8">
      <c r="A46" s="92"/>
      <c r="B46" s="93"/>
      <c r="C46" s="157"/>
      <c r="D46" s="157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9" t="s">
        <v>0</v>
      </c>
      <c r="D47" s="160"/>
      <c r="E47" s="83"/>
      <c r="F47" s="132">
        <f>SUM(F43:F45)</f>
        <v>16417747</v>
      </c>
      <c r="G47" s="21"/>
      <c r="H47" s="132">
        <f>H43</f>
        <v>598635.9595</v>
      </c>
      <c r="I47" s="83"/>
      <c r="J47" s="141">
        <f>IFERROR(H47/F47,0)</f>
        <v>3.6462735081738071E-2</v>
      </c>
      <c r="K47" s="86"/>
      <c r="L47" s="132">
        <f>L45</f>
        <v>228796</v>
      </c>
      <c r="M47" s="83"/>
      <c r="N47" s="141">
        <f>IFERROR(L47/F47,0)</f>
        <v>1.39358951018066E-2</v>
      </c>
      <c r="O47" s="56"/>
      <c r="P47" s="83"/>
      <c r="R47" s="188"/>
      <c r="S47" s="188"/>
      <c r="T47" s="188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.15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.15" customHeight="1" x14ac:dyDescent="0.6">
      <c r="A52" s="10"/>
      <c r="B52" s="40"/>
      <c r="C52" s="172"/>
      <c r="D52" s="172"/>
      <c r="F52" s="173" t="s">
        <v>81</v>
      </c>
      <c r="G52" s="174"/>
      <c r="H52" s="175"/>
      <c r="I52" s="41"/>
      <c r="J52" s="176" t="s">
        <v>82</v>
      </c>
      <c r="K52" s="177"/>
      <c r="L52" s="178"/>
      <c r="M52" s="41"/>
      <c r="N52" s="176" t="s">
        <v>2</v>
      </c>
      <c r="O52" s="177"/>
      <c r="P52" s="178"/>
      <c r="Q52" s="41"/>
      <c r="R52" s="169" t="s">
        <v>3</v>
      </c>
      <c r="S52" s="41"/>
      <c r="T52" s="169" t="s">
        <v>6</v>
      </c>
      <c r="U52" s="41"/>
      <c r="V52" s="169" t="s">
        <v>4</v>
      </c>
      <c r="W52" s="41"/>
      <c r="X52" s="169" t="s">
        <v>7</v>
      </c>
      <c r="Y52" s="41"/>
      <c r="Z52" s="169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72"/>
      <c r="D53" s="172"/>
      <c r="F53" s="43"/>
      <c r="J53" s="179"/>
      <c r="K53" s="180"/>
      <c r="L53" s="181"/>
      <c r="N53" s="179"/>
      <c r="O53" s="180"/>
      <c r="P53" s="181"/>
      <c r="R53" s="170"/>
      <c r="T53" s="170"/>
      <c r="V53" s="170"/>
      <c r="X53" s="170"/>
      <c r="Z53" s="170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72"/>
      <c r="D54" s="172"/>
      <c r="E54" s="41"/>
      <c r="F54" s="47" t="s">
        <v>1</v>
      </c>
      <c r="G54" s="41"/>
      <c r="H54" s="47" t="s">
        <v>89</v>
      </c>
      <c r="J54" s="182"/>
      <c r="K54" s="183"/>
      <c r="L54" s="184"/>
      <c r="N54" s="182"/>
      <c r="O54" s="183"/>
      <c r="P54" s="184"/>
      <c r="R54" s="171"/>
      <c r="T54" s="171"/>
      <c r="V54" s="171"/>
      <c r="X54" s="171"/>
      <c r="Z54" s="171"/>
      <c r="AA54" s="48"/>
      <c r="AB54" s="41"/>
    </row>
    <row r="55" spans="1:35" s="16" customFormat="1" ht="2.6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1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49999999999999" customHeight="1" x14ac:dyDescent="0.65">
      <c r="B57" s="51"/>
      <c r="C57" s="164" t="s">
        <v>95</v>
      </c>
      <c r="D57" s="165" t="s">
        <v>83</v>
      </c>
      <c r="E57" s="21"/>
      <c r="F57" s="134">
        <f>SUM(WVMCCD!F58,SJECCD!F58,ESAE!F58,SCAE!F58,SVAE!F58,CAE!F58,MAE!F58,Sheet8!F58,Sheet9!F58,Sheet10!F58,Sheet11!F58,Sheet12!F58,Sheet13!F58,Sheet14!F58,Sheet15!F58,Sheet16!F58,Sheet17!F58,Sheet18!F58,Sheet19!F58,Sheet20!F58)</f>
        <v>1855088</v>
      </c>
      <c r="G57" s="21"/>
      <c r="H57" s="134">
        <f>SUM(WVMCCD!H58,SJECCD!H58,ESAE!H58,SCAE!H58,SVAE!H58,CAE!H58,MAE!H58,Sheet8!H58,Sheet9!H58,Sheet10!H58,Sheet11!H58,Sheet12!H58,Sheet13!H58,Sheet14!H58,Sheet15!H58,Sheet16!H58,Sheet17!H58,Sheet18!H58,Sheet19!H58,Sheet20!H58)</f>
        <v>1478672</v>
      </c>
      <c r="I57" s="21"/>
      <c r="J57" s="166">
        <f>SUM(WVMCCD!J58,SJECCD!J58,ESAE!J58,SCAE!J58,SVAE!J58,CAE!J58,MAE!J58,Sheet8!J58,Sheet9!J58,Sheet10!J58,Sheet11!J58,Sheet12!J58,Sheet13!J58,Sheet14!J58,Sheet15!J58,Sheet16!J58,Sheet17!J58,Sheet18!J58,Sheet19!J58,Sheet20!J58)</f>
        <v>298661</v>
      </c>
      <c r="K57" s="167"/>
      <c r="L57" s="168"/>
      <c r="M57" s="21"/>
      <c r="N57" s="166">
        <f>SUM(WVMCCD!N58,SJECCD!N58,ESAE!N58,SCAE!N58,SVAE!N58,CAE!N58,MAE!N58,Sheet8!N58,Sheet9!N58,Sheet10!N58,Sheet11!N58,Sheet12!N58,Sheet13!N58,Sheet14!N58,Sheet15!N58,Sheet16!N58,Sheet17!N58,Sheet18!N58,Sheet19!N58,Sheet20!N58)</f>
        <v>15909</v>
      </c>
      <c r="O57" s="167"/>
      <c r="P57" s="168"/>
      <c r="Q57" s="21"/>
      <c r="R57" s="134">
        <f>SUM(WVMCCD!R58,SJECCD!R58,ESAE!R58,SCAE!R58,SVAE!R58,CAE!R58,MAE!R58,Sheet8!R58,Sheet9!R58,Sheet10!R58,Sheet11!R58,Sheet12!R58,Sheet13!R58,Sheet14!R58,Sheet15!R58,Sheet16!R58,Sheet17!R58,Sheet18!R58,Sheet19!R58,Sheet20!R58)</f>
        <v>786628.68702499999</v>
      </c>
      <c r="S57" s="21"/>
      <c r="T57" s="134">
        <f>SUM(WVMCCD!T58,SJECCD!T58,ESAE!T58,SCAE!T58,SVAE!T58,CAE!T58,MAE!T58,Sheet8!T58,Sheet9!T58,Sheet10!T58,Sheet11!T58,Sheet12!T58,Sheet13!T58,Sheet14!T58,Sheet15!T58,Sheet16!T58,Sheet17!T58,Sheet18!T58,Sheet19!T58,Sheet20!T58)</f>
        <v>0</v>
      </c>
      <c r="U57" s="21"/>
      <c r="V57" s="134">
        <f>SUM(WVMCCD!V58,SJECCD!V58,ESAE!V58,SCAE!V58,SVAE!V58,CAE!V58,MAE!V58,Sheet8!V58,Sheet9!V58,Sheet10!V58,Sheet11!V58,Sheet12!V58,Sheet13!V58,Sheet14!V58,Sheet15!V58,Sheet16!V58,Sheet17!V58,Sheet18!V58,Sheet19!V58,Sheet20!V58)</f>
        <v>11998340.243999999</v>
      </c>
      <c r="W57" s="21"/>
      <c r="X57" s="134">
        <f>SUM(WVMCCD!X58,SJECCD!X58,ESAE!X58,SCAE!X58,SVAE!X58,CAE!X58,MAE!X58,Sheet8!X58,Sheet9!X58,Sheet10!X58,Sheet11!X58,Sheet12!X58,Sheet13!X58,Sheet14!X58,Sheet15!X58,Sheet16!X58,Sheet17!X58,Sheet18!X58,Sheet19!X58,Sheet20!X58)</f>
        <v>1584000</v>
      </c>
      <c r="Y57" s="54"/>
      <c r="Z57" s="131">
        <f>SUM(F57:X57)</f>
        <v>18017298.931024998</v>
      </c>
      <c r="AA57" s="56"/>
      <c r="AB57" s="57"/>
      <c r="AD57" s="10"/>
      <c r="AF57" s="10"/>
      <c r="AG57" s="10"/>
      <c r="AH57" s="10"/>
      <c r="AI57" s="10"/>
    </row>
    <row r="58" spans="1:35" s="16" customFormat="1" ht="5.1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49999999999999" customHeight="1" x14ac:dyDescent="0.65">
      <c r="B59" s="51"/>
      <c r="C59" s="164" t="s">
        <v>96</v>
      </c>
      <c r="D59" s="165" t="s">
        <v>84</v>
      </c>
      <c r="E59" s="21"/>
      <c r="F59" s="134">
        <f>SUM(WVMCCD!F60,SJECCD!F60,ESAE!F60,SCAE!F60,SVAE!F60,CAE!F60,MAE!F60,Sheet8!F60,Sheet9!F60,Sheet10!F60,Sheet11!F60,Sheet12!F60,Sheet13!F60,Sheet14!F60,Sheet15!F60,Sheet16!F60,Sheet17!F60,Sheet18!F60,Sheet19!F60,Sheet20!F60)</f>
        <v>9164596</v>
      </c>
      <c r="G59" s="21"/>
      <c r="H59" s="134">
        <f>SUM(WVMCCD!H60,SJECCD!H60,ESAE!H60,SCAE!H60,SVAE!H60,CAE!H60,MAE!H60,Sheet8!H60,Sheet9!H60,Sheet10!H60,Sheet11!H60,Sheet12!H60,Sheet13!H60,Sheet14!H60,Sheet15!H60,Sheet16!H60,Sheet17!H60,Sheet18!H60,Sheet19!H60,Sheet20!H60)</f>
        <v>1600137</v>
      </c>
      <c r="I59" s="21"/>
      <c r="J59" s="166">
        <f>SUM(WVMCCD!J60,SJECCD!J60,ESAE!J60,SCAE!J60,SVAE!J60,CAE!J60,MAE!J60,Sheet8!J60,Sheet9!J60,Sheet10!J60,Sheet11!J60,Sheet12!J60,Sheet13!J60,Sheet14!J60,Sheet15!J60,Sheet16!J60,Sheet17!J60,Sheet18!J60,Sheet19!J60,Sheet20!J60)</f>
        <v>1180786</v>
      </c>
      <c r="K59" s="167"/>
      <c r="L59" s="168"/>
      <c r="M59" s="21"/>
      <c r="N59" s="166">
        <f>SUM(WVMCCD!N60,SJECCD!N60,ESAE!N60,SCAE!N60,SVAE!N60,CAE!N60,MAE!N60,Sheet8!N60,Sheet9!N60,Sheet10!N60,Sheet11!N60,Sheet12!N60,Sheet13!N60,Sheet14!N60,Sheet15!N60,Sheet16!N60,Sheet17!N60,Sheet18!N60,Sheet19!N60,Sheet20!N60)</f>
        <v>20934</v>
      </c>
      <c r="O59" s="167"/>
      <c r="P59" s="168"/>
      <c r="Q59" s="21"/>
      <c r="R59" s="134">
        <f>SUM(WVMCCD!R60,SJECCD!R60,ESAE!R60,SCAE!R60,SVAE!R60,CAE!R60,MAE!R60,Sheet8!R60,Sheet9!R60,Sheet10!R60,Sheet11!R60,Sheet12!R60,Sheet13!R60,Sheet14!R60,Sheet15!R60,Sheet16!R60,Sheet17!R60,Sheet18!R60,Sheet19!R60,Sheet20!R60)</f>
        <v>1092936.8409500001</v>
      </c>
      <c r="S59" s="21"/>
      <c r="T59" s="134">
        <f>SUM(WVMCCD!T60,SJECCD!T60,ESAE!T60,SCAE!T60,SVAE!T60,CAE!T60,MAE!T60,Sheet8!T60,Sheet9!T60,Sheet10!T60,Sheet11!T60,Sheet12!T60,Sheet13!T60,Sheet14!T60,Sheet15!T60,Sheet16!T60,Sheet17!T60,Sheet18!T60,Sheet19!T60,Sheet20!T60)</f>
        <v>0</v>
      </c>
      <c r="U59" s="21"/>
      <c r="V59" s="134">
        <f>SUM(WVMCCD!V60,SJECCD!V60,ESAE!V60,SCAE!V60,SVAE!V60,CAE!V60,MAE!V60,Sheet8!V60,Sheet9!V60,Sheet10!V60,Sheet11!V60,Sheet12!V60,Sheet13!V60,Sheet14!V60,Sheet15!V60,Sheet16!V60,Sheet17!V60,Sheet18!V60,Sheet19!V60,Sheet20!V60)</f>
        <v>2599640.3862000001</v>
      </c>
      <c r="W59" s="21"/>
      <c r="X59" s="134">
        <f>SUM(WVMCCD!X60,SJECCD!X60,ESAE!X60,SCAE!X60,SVAE!X60,CAE!X60,MAE!X60,Sheet8!X60,Sheet9!X60,Sheet10!X60,Sheet11!X60,Sheet12!X60,Sheet13!X60,Sheet14!X60,Sheet15!X60,Sheet16!X60,Sheet17!X60,Sheet18!X60,Sheet19!X60,Sheet20!X60)</f>
        <v>528000</v>
      </c>
      <c r="Y59" s="54"/>
      <c r="Z59" s="131">
        <f>SUM(F59:X59)</f>
        <v>16187030.227150001</v>
      </c>
      <c r="AA59" s="56"/>
      <c r="AB59" s="57"/>
      <c r="AD59" s="10"/>
      <c r="AF59" s="10"/>
      <c r="AG59" s="10"/>
      <c r="AH59" s="10"/>
      <c r="AI59" s="10"/>
    </row>
    <row r="60" spans="1:35" s="16" customFormat="1" ht="5.1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49999999999999" customHeight="1" x14ac:dyDescent="0.65">
      <c r="B61" s="51"/>
      <c r="C61" s="164" t="s">
        <v>97</v>
      </c>
      <c r="D61" s="165" t="s">
        <v>85</v>
      </c>
      <c r="E61" s="21"/>
      <c r="F61" s="134">
        <f>SUM(WVMCCD!F62,SJECCD!F62,ESAE!F62,SCAE!F62,SVAE!F62,CAE!F62,MAE!F62,Sheet8!F62,Sheet9!F62,Sheet10!F62,Sheet11!F62,Sheet12!F62,Sheet13!F62,Sheet14!F62,Sheet15!F62,Sheet16!F62,Sheet17!F62,Sheet18!F62,Sheet19!F62,Sheet20!F62)</f>
        <v>395887</v>
      </c>
      <c r="G61" s="21"/>
      <c r="H61" s="134">
        <f>SUM(WVMCCD!H62,SJECCD!H62,ESAE!H62,SCAE!H62,SVAE!H62,CAE!H62,MAE!H62,Sheet8!H62,Sheet9!H62,Sheet10!H62,Sheet11!H62,Sheet12!H62,Sheet13!H62,Sheet14!H62,Sheet15!H62,Sheet16!H62,Sheet17!H62,Sheet18!H62,Sheet19!H62,Sheet20!H62)</f>
        <v>530064</v>
      </c>
      <c r="I61" s="21"/>
      <c r="J61" s="166">
        <f>SUM(WVMCCD!J62,SJECCD!J62,ESAE!J62,SCAE!J62,SVAE!J62,CAE!J62,MAE!J62,Sheet8!J62,Sheet9!J62,Sheet10!J62,Sheet11!J62,Sheet12!J62,Sheet13!J62,Sheet14!J62,Sheet15!J62,Sheet16!J62,Sheet17!J62,Sheet18!J62,Sheet19!J62,Sheet20!J62)</f>
        <v>189305</v>
      </c>
      <c r="K61" s="167"/>
      <c r="L61" s="168"/>
      <c r="M61" s="21"/>
      <c r="N61" s="166">
        <f>SUM(WVMCCD!N62,SJECCD!N62,ESAE!N62,SCAE!N62,SVAE!N62,CAE!N62,MAE!N62,Sheet8!N62,Sheet9!N62,Sheet10!N62,Sheet11!N62,Sheet12!N62,Sheet13!N62,Sheet14!N62,Sheet15!N62,Sheet16!N62,Sheet17!N62,Sheet18!N62,Sheet19!N62,Sheet20!N62)</f>
        <v>2000</v>
      </c>
      <c r="O61" s="167"/>
      <c r="P61" s="168"/>
      <c r="Q61" s="21"/>
      <c r="R61" s="134">
        <f>SUM(WVMCCD!R62,SJECCD!R62,ESAE!R62,SCAE!R62,SVAE!R62,CAE!R62,MAE!R62,Sheet8!R62,Sheet9!R62,Sheet10!R62,Sheet11!R62,Sheet12!R62,Sheet13!R62,Sheet14!R62,Sheet15!R62,Sheet16!R62,Sheet17!R62,Sheet18!R62,Sheet19!R62,Sheet20!R62)</f>
        <v>384440.68702499999</v>
      </c>
      <c r="S61" s="21"/>
      <c r="T61" s="134">
        <f>SUM(WVMCCD!T62,SJECCD!T62,ESAE!T62,SCAE!T62,SVAE!T62,CAE!T62,MAE!T62,Sheet8!T62,Sheet9!T62,Sheet10!T62,Sheet11!T62,Sheet12!T62,Sheet13!T62,Sheet14!T62,Sheet15!T62,Sheet16!T62,Sheet17!T62,Sheet18!T62,Sheet19!T62,Sheet20!T62)</f>
        <v>0</v>
      </c>
      <c r="U61" s="21"/>
      <c r="V61" s="134">
        <f>SUM(WVMCCD!V62,SJECCD!V62,ESAE!V62,SCAE!V62,SVAE!V62,CAE!V62,MAE!V62,Sheet8!V62,Sheet9!V62,Sheet10!V62,Sheet11!V62,Sheet12!V62,Sheet13!V62,Sheet14!V62,Sheet15!V62,Sheet16!V62,Sheet17!V62,Sheet18!V62,Sheet19!V62,Sheet20!V62)</f>
        <v>1599778.6992000001</v>
      </c>
      <c r="W61" s="21"/>
      <c r="X61" s="134">
        <f>SUM(WVMCCD!X62,SJECCD!X62,ESAE!X62,SCAE!X62,SVAE!X62,CAE!X62,MAE!X62,Sheet8!X62,Sheet9!X62,Sheet10!X62,Sheet11!X62,Sheet12!X62,Sheet13!X62,Sheet14!X62,Sheet15!X62,Sheet16!X62,Sheet17!X62,Sheet18!X62,Sheet19!X62,Sheet20!X62)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3101475.386225</v>
      </c>
      <c r="AA61" s="56"/>
      <c r="AB61" s="57"/>
      <c r="AD61" s="10"/>
      <c r="AF61" s="10"/>
      <c r="AG61" s="10"/>
      <c r="AH61" s="10"/>
      <c r="AI61" s="10"/>
    </row>
    <row r="62" spans="1:35" s="16" customFormat="1" ht="5.1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49999999999999" customHeight="1" x14ac:dyDescent="0.65">
      <c r="B63" s="51"/>
      <c r="C63" s="164" t="s">
        <v>98</v>
      </c>
      <c r="D63" s="165" t="s">
        <v>86</v>
      </c>
      <c r="E63" s="21"/>
      <c r="F63" s="134">
        <f>SUM(WVMCCD!F64,SJECCD!F64,ESAE!F64,SCAE!F64,SVAE!F64,CAE!F64,MAE!F64,Sheet8!F64,Sheet9!F64,Sheet10!F64,Sheet11!F64,Sheet12!F64,Sheet13!F64,Sheet14!F64,Sheet15!F64,Sheet16!F64,Sheet17!F64,Sheet18!F64,Sheet19!F64,Sheet20!F64)</f>
        <v>242009</v>
      </c>
      <c r="G63" s="21"/>
      <c r="H63" s="134">
        <f>SUM(WVMCCD!H64,SJECCD!H64,ESAE!H64,SCAE!H64,SVAE!H64,CAE!H64,MAE!H64,Sheet8!H64,Sheet9!H64,Sheet10!H64,Sheet11!H64,Sheet12!H64,Sheet13!H64,Sheet14!H64,Sheet15!H64,Sheet16!H64,Sheet17!H64,Sheet18!H64,Sheet19!H64,Sheet20!H64)</f>
        <v>555058</v>
      </c>
      <c r="I63" s="21"/>
      <c r="J63" s="166">
        <f>SUM(WVMCCD!J64,SJECCD!J64,ESAE!J64,SCAE!J64,SVAE!J64,CAE!J64,MAE!J64,Sheet8!J64,Sheet9!J64,Sheet10!J64,Sheet11!J64,Sheet12!J64,Sheet13!J64,Sheet14!J64,Sheet15!J64,Sheet16!J64,Sheet17!J64,Sheet18!J64,Sheet19!J64,Sheet20!J64)</f>
        <v>210421</v>
      </c>
      <c r="K63" s="167"/>
      <c r="L63" s="168"/>
      <c r="M63" s="21"/>
      <c r="N63" s="166">
        <f>SUM(WVMCCD!N64,SJECCD!N64,ESAE!N64,SCAE!N64,SVAE!N64,CAE!N64,MAE!N64,Sheet8!N64,Sheet9!N64,Sheet10!N64,Sheet11!N64,Sheet12!N64,Sheet13!N64,Sheet14!N64,Sheet15!N64,Sheet16!N64,Sheet17!N64,Sheet18!N64,Sheet19!N64,Sheet20!N64)</f>
        <v>2000</v>
      </c>
      <c r="O63" s="167"/>
      <c r="P63" s="168"/>
      <c r="Q63" s="21"/>
      <c r="R63" s="134">
        <f>SUM(WVMCCD!R64,SJECCD!R64,ESAE!R64,SCAE!R64,SVAE!R64,CAE!R64,MAE!R64,Sheet8!R64,Sheet9!R64,Sheet10!R64,Sheet11!R64,Sheet12!R64,Sheet13!R64,Sheet14!R64,Sheet15!R64,Sheet16!R64,Sheet17!R64,Sheet18!R64,Sheet19!R64,Sheet20!R64)</f>
        <v>48777</v>
      </c>
      <c r="S63" s="21"/>
      <c r="T63" s="134">
        <f>SUM(WVMCCD!T64,SJECCD!T64,ESAE!T64,SCAE!T64,SVAE!T64,CAE!T64,MAE!T64,Sheet8!T64,Sheet9!T64,Sheet10!T64,Sheet11!T64,Sheet12!T64,Sheet13!T64,Sheet14!T64,Sheet15!T64,Sheet16!T64,Sheet17!T64,Sheet18!T64,Sheet19!T64,Sheet20!T64)</f>
        <v>0</v>
      </c>
      <c r="U63" s="21"/>
      <c r="V63" s="134">
        <f>SUM(WVMCCD!V64,SJECCD!V64,ESAE!V64,SCAE!V64,SVAE!V64,CAE!V64,MAE!V64,Sheet8!V64,Sheet9!V64,Sheet10!V64,Sheet11!V64,Sheet12!V64,Sheet13!V64,Sheet14!V64,Sheet15!V64,Sheet16!V64,Sheet17!V64,Sheet18!V64,Sheet19!V64,Sheet20!V64)</f>
        <v>599917.0122</v>
      </c>
      <c r="W63" s="21"/>
      <c r="X63" s="134">
        <f>SUM(WVMCCD!X64,SJECCD!X64,ESAE!X64,SCAE!X64,SVAE!X64,CAE!X64,MAE!X64,Sheet8!X64,Sheet9!X64,Sheet10!X64,Sheet11!X64,Sheet12!X64,Sheet13!X64,Sheet14!X64,Sheet15!X64,Sheet16!X64,Sheet17!X64,Sheet18!X64,Sheet19!X64,Sheet20!X64)</f>
        <v>264000</v>
      </c>
      <c r="Y63" s="54"/>
      <c r="Z63" s="131">
        <f>SUM(F63:X63)</f>
        <v>1922182.0122</v>
      </c>
      <c r="AA63" s="56"/>
      <c r="AB63" s="57"/>
      <c r="AD63" s="10"/>
      <c r="AF63" s="10"/>
      <c r="AG63" s="10"/>
      <c r="AH63" s="10"/>
      <c r="AI63" s="10"/>
    </row>
    <row r="64" spans="1:35" s="16" customFormat="1" ht="5.1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49999999999999" customHeight="1" x14ac:dyDescent="0.65">
      <c r="A65" s="9"/>
      <c r="B65" s="51"/>
      <c r="C65" s="164" t="s">
        <v>117</v>
      </c>
      <c r="D65" s="165" t="s">
        <v>87</v>
      </c>
      <c r="E65" s="21"/>
      <c r="F65" s="134">
        <f>SUM(WVMCCD!F66,SJECCD!F66,ESAE!F66,SCAE!F66,SVAE!F66,CAE!F66,MAE!F66,Sheet8!F66,Sheet9!F66,Sheet10!F66,Sheet11!F66,Sheet12!F66,Sheet13!F66,Sheet14!F66,Sheet15!F66,Sheet16!F66,Sheet17!F66,Sheet18!F66,Sheet19!F66,Sheet20!F66)</f>
        <v>184425</v>
      </c>
      <c r="G65" s="21"/>
      <c r="H65" s="134">
        <f>SUM(WVMCCD!H66,SJECCD!H66,ESAE!H66,SCAE!H66,SVAE!H66,CAE!H66,MAE!H66,Sheet8!H66,Sheet9!H66,Sheet10!H66,Sheet11!H66,Sheet12!H66,Sheet13!H66,Sheet14!H66,Sheet15!H66,Sheet16!H66,Sheet17!H66,Sheet18!H66,Sheet19!H66,Sheet20!H66)</f>
        <v>402915</v>
      </c>
      <c r="I65" s="21"/>
      <c r="J65" s="166">
        <f>SUM(WVMCCD!J66,SJECCD!J66,ESAE!J66,SCAE!J66,SVAE!J66,CAE!J66,MAE!J66,Sheet8!J66,Sheet9!J66,Sheet10!J66,Sheet11!J66,Sheet12!J66,Sheet13!J66,Sheet14!J66,Sheet15!J66,Sheet16!J66,Sheet17!J66,Sheet18!J66,Sheet19!J66,Sheet20!J66)</f>
        <v>166012</v>
      </c>
      <c r="K65" s="167"/>
      <c r="L65" s="168"/>
      <c r="M65" s="21"/>
      <c r="N65" s="166">
        <f>SUM(WVMCCD!N66,SJECCD!N66,ESAE!N66,SCAE!N66,SVAE!N66,CAE!N66,MAE!N66,Sheet8!N66,Sheet9!N66,Sheet10!N66,Sheet11!N66,Sheet12!N66,Sheet13!N66,Sheet14!N66,Sheet15!N66,Sheet16!N66,Sheet17!N66,Sheet18!N66,Sheet19!N66,Sheet20!N66)</f>
        <v>0</v>
      </c>
      <c r="O65" s="167"/>
      <c r="P65" s="168"/>
      <c r="Q65" s="21"/>
      <c r="R65" s="134">
        <f>SUM(WVMCCD!R66,SJECCD!R66,ESAE!R66,SCAE!R66,SVAE!R66,CAE!R66,MAE!R66,Sheet8!R66,Sheet9!R66,Sheet10!R66,Sheet11!R66,Sheet12!R66,Sheet13!R66,Sheet14!R66,Sheet15!R66,Sheet16!R66,Sheet17!R66,Sheet18!R66,Sheet19!R66,Sheet20!R66)</f>
        <v>10000</v>
      </c>
      <c r="S65" s="21"/>
      <c r="T65" s="134">
        <f>SUM(WVMCCD!T66,SJECCD!T66,ESAE!T66,SCAE!T66,SVAE!T66,CAE!T66,MAE!T66,Sheet8!T66,Sheet9!T66,Sheet10!T66,Sheet11!T66,Sheet12!T66,Sheet13!T66,Sheet14!T66,Sheet15!T66,Sheet16!T66,Sheet17!T66,Sheet18!T66,Sheet19!T66,Sheet20!T66)</f>
        <v>0</v>
      </c>
      <c r="U65" s="21"/>
      <c r="V65" s="134">
        <f>SUM(WVMCCD!V66,SJECCD!V66,ESAE!V66,SCAE!V66,SVAE!V66,CAE!V66,MAE!V66,Sheet8!V66,Sheet9!V66,Sheet10!V66,Sheet11!V66,Sheet12!V66,Sheet13!V66,Sheet14!V66,Sheet15!V66,Sheet16!V66,Sheet17!V66,Sheet18!V66,Sheet19!V66,Sheet20!V66)</f>
        <v>3199557.3984000003</v>
      </c>
      <c r="W65" s="21"/>
      <c r="X65" s="134">
        <f>SUM(WVMCCD!X66,SJECCD!X66,ESAE!X66,SCAE!X66,SVAE!X66,CAE!X66,MAE!X66,Sheet8!X66,Sheet9!X66,Sheet10!X66,Sheet11!X66,Sheet12!X66,Sheet13!X66,Sheet14!X66,Sheet15!X66,Sheet16!X66,Sheet17!X66,Sheet18!X66,Sheet19!X66,Sheet20!X66)</f>
        <v>264000</v>
      </c>
      <c r="Y65" s="54"/>
      <c r="Z65" s="131">
        <f>SUM(F65:X65)</f>
        <v>4226909.3984000003</v>
      </c>
      <c r="AA65" s="56"/>
      <c r="AB65" s="57"/>
    </row>
    <row r="66" spans="1:35" ht="5.15" customHeight="1" thickBot="1" x14ac:dyDescent="0.8">
      <c r="A66" s="13"/>
      <c r="B66" s="49"/>
      <c r="C66" s="157"/>
      <c r="D66" s="157"/>
      <c r="E66" s="14"/>
      <c r="F66" s="63"/>
      <c r="G66" s="10"/>
      <c r="H66" s="63"/>
      <c r="I66" s="10"/>
      <c r="J66" s="158"/>
      <c r="K66" s="158"/>
      <c r="L66" s="158"/>
      <c r="M66" s="10"/>
      <c r="N66" s="158"/>
      <c r="O66" s="158"/>
      <c r="P66" s="158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49999999999999" customHeight="1" x14ac:dyDescent="0.65">
      <c r="A67" s="118"/>
      <c r="B67" s="119"/>
      <c r="C67" s="159" t="s">
        <v>0</v>
      </c>
      <c r="D67" s="160"/>
      <c r="E67" s="57"/>
      <c r="F67" s="132">
        <f>SUM(F57:F65)</f>
        <v>11842005</v>
      </c>
      <c r="G67" s="21"/>
      <c r="H67" s="133">
        <f>SUM(H57:H65)</f>
        <v>4566846</v>
      </c>
      <c r="I67" s="57"/>
      <c r="J67" s="161">
        <f>SUM(J57:L65)</f>
        <v>2045185</v>
      </c>
      <c r="K67" s="162"/>
      <c r="L67" s="163"/>
      <c r="M67" s="57"/>
      <c r="N67" s="161">
        <f>SUM(N57:P65)</f>
        <v>40843</v>
      </c>
      <c r="O67" s="162"/>
      <c r="P67" s="163"/>
      <c r="Q67" s="57"/>
      <c r="R67" s="132">
        <f>SUM(R57:R65)</f>
        <v>2322783.2149999999</v>
      </c>
      <c r="S67" s="57"/>
      <c r="T67" s="132">
        <f>SUM(T57:T65)</f>
        <v>0</v>
      </c>
      <c r="U67" s="57"/>
      <c r="V67" s="133">
        <f>SUM(V57:V65)</f>
        <v>19997233.740000002</v>
      </c>
      <c r="W67" s="57"/>
      <c r="X67" s="133">
        <f>SUM(X57:X65)</f>
        <v>2640000</v>
      </c>
      <c r="Y67" s="57"/>
      <c r="Z67" s="133">
        <f>SUM(Z57:Z65)</f>
        <v>43454895.954999998</v>
      </c>
      <c r="AA67" s="56"/>
      <c r="AB67" s="120"/>
    </row>
    <row r="68" spans="1:35" s="11" customFormat="1" ht="11.15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5" customHeight="1" x14ac:dyDescent="0.65">
      <c r="AD73" s="10"/>
      <c r="AF73" s="10"/>
      <c r="AG73" s="10"/>
      <c r="AH73" s="10"/>
      <c r="AI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topLeftCell="A4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7265625" defaultRowHeight="16" x14ac:dyDescent="0.8"/>
  <cols>
    <col min="1" max="1" width="18.7265625" style="5" bestFit="1" customWidth="1"/>
    <col min="2" max="16384" width="10.7265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208"/>
      <c r="K21" s="209"/>
      <c r="L21" s="210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208"/>
      <c r="K23" s="209"/>
      <c r="L23" s="210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0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/>
      <c r="G58" s="121"/>
      <c r="H58" s="3"/>
      <c r="I58" s="121"/>
      <c r="J58" s="208"/>
      <c r="K58" s="209"/>
      <c r="L58" s="210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/>
      <c r="G60" s="121"/>
      <c r="H60" s="3"/>
      <c r="I60" s="121"/>
      <c r="J60" s="208"/>
      <c r="K60" s="209"/>
      <c r="L60" s="210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/>
      <c r="G62" s="121"/>
      <c r="H62" s="3"/>
      <c r="I62" s="121"/>
      <c r="J62" s="208"/>
      <c r="K62" s="209"/>
      <c r="L62" s="210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/>
      <c r="G64" s="121"/>
      <c r="H64" s="3"/>
      <c r="I64" s="121"/>
      <c r="J64" s="208"/>
      <c r="K64" s="209"/>
      <c r="L64" s="210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/>
      <c r="G66" s="121"/>
      <c r="H66" s="3"/>
      <c r="I66" s="121"/>
      <c r="J66" s="208"/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0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C19" zoomScaleNormal="100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120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1710627</v>
      </c>
      <c r="G21" s="121"/>
      <c r="H21" s="147">
        <v>163026.29999999999</v>
      </c>
      <c r="I21" s="121"/>
      <c r="J21" s="205">
        <v>259420</v>
      </c>
      <c r="K21" s="206"/>
      <c r="L21" s="207"/>
      <c r="M21" s="121"/>
      <c r="N21" s="208"/>
      <c r="O21" s="209"/>
      <c r="P21" s="210"/>
      <c r="Q21" s="121"/>
      <c r="R21" s="147">
        <v>94578</v>
      </c>
      <c r="S21" s="121"/>
      <c r="T21" s="3"/>
      <c r="U21" s="121"/>
      <c r="V21" s="3"/>
      <c r="W21" s="121"/>
      <c r="X21" s="3"/>
      <c r="Y21" s="54"/>
      <c r="Z21" s="55">
        <f>SUM(F21:X21)</f>
        <v>2227651.2999999998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3421355</v>
      </c>
      <c r="G23" s="121"/>
      <c r="H23" s="147">
        <v>326052.59999999998</v>
      </c>
      <c r="I23" s="121"/>
      <c r="J23" s="205">
        <v>503580</v>
      </c>
      <c r="K23" s="206"/>
      <c r="L23" s="207"/>
      <c r="M23" s="121"/>
      <c r="N23" s="208"/>
      <c r="O23" s="209"/>
      <c r="P23" s="210"/>
      <c r="Q23" s="121"/>
      <c r="R23" s="147">
        <v>189156</v>
      </c>
      <c r="S23" s="121"/>
      <c r="T23" s="3"/>
      <c r="U23" s="121"/>
      <c r="V23" s="3"/>
      <c r="W23" s="121"/>
      <c r="X23" s="3"/>
      <c r="Y23" s="54"/>
      <c r="Z23" s="55">
        <f>SUM(F23:X23)</f>
        <v>4440143.5999999996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5"/>
      <c r="K25" s="206"/>
      <c r="L25" s="207"/>
      <c r="M25" s="121"/>
      <c r="N25" s="208"/>
      <c r="O25" s="209"/>
      <c r="P25" s="210"/>
      <c r="Q25" s="121"/>
      <c r="R25" s="147">
        <v>31526</v>
      </c>
      <c r="S25" s="121"/>
      <c r="T25" s="3"/>
      <c r="U25" s="121"/>
      <c r="V25" s="3"/>
      <c r="W25" s="121"/>
      <c r="X25" s="3"/>
      <c r="Y25" s="54"/>
      <c r="Z25" s="55">
        <f>SUM(F25:X25)</f>
        <v>31526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5"/>
      <c r="K27" s="206"/>
      <c r="L27" s="207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5"/>
      <c r="K29" s="206"/>
      <c r="L29" s="207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147">
        <v>570211</v>
      </c>
      <c r="G31" s="121"/>
      <c r="H31" s="147">
        <v>54342.1</v>
      </c>
      <c r="I31" s="121"/>
      <c r="J31" s="205"/>
      <c r="K31" s="206"/>
      <c r="L31" s="207"/>
      <c r="M31" s="121"/>
      <c r="N31" s="205">
        <v>13912</v>
      </c>
      <c r="O31" s="206"/>
      <c r="P31" s="207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638465.1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5"/>
      <c r="K33" s="206"/>
      <c r="L33" s="207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5702193</v>
      </c>
      <c r="G35" s="21"/>
      <c r="H35" s="68">
        <f>SUM(H21:H33)</f>
        <v>543421</v>
      </c>
      <c r="I35" s="57"/>
      <c r="J35" s="202">
        <f>SUM(J21:L33)</f>
        <v>763000</v>
      </c>
      <c r="K35" s="203"/>
      <c r="L35" s="204"/>
      <c r="M35" s="57"/>
      <c r="N35" s="202">
        <f>SUM(N21:P33)</f>
        <v>13912</v>
      </c>
      <c r="O35" s="203"/>
      <c r="P35" s="204"/>
      <c r="Q35" s="57"/>
      <c r="R35" s="67">
        <f>SUM(R21:R33)</f>
        <v>315260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7337785.9999999991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147">
        <v>5702093</v>
      </c>
      <c r="G44" s="121"/>
      <c r="H44" s="3">
        <f>F44*0.0629</f>
        <v>358661.64970000001</v>
      </c>
      <c r="I44" s="86"/>
      <c r="J44" s="141">
        <f>IFERROR(H44/F44,0)</f>
        <v>6.2899999999999998E-2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147">
        <v>543421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6245514</v>
      </c>
      <c r="G48" s="21"/>
      <c r="H48" s="67">
        <f>H44</f>
        <v>358661.64970000001</v>
      </c>
      <c r="I48" s="83"/>
      <c r="J48" s="141">
        <f>IFERROR(H48/F48,0)</f>
        <v>5.7427082814961269E-2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147">
        <v>215000</v>
      </c>
      <c r="G58" s="121"/>
      <c r="H58" s="147">
        <v>74819</v>
      </c>
      <c r="I58" s="121"/>
      <c r="J58" s="205">
        <v>56482</v>
      </c>
      <c r="K58" s="206"/>
      <c r="L58" s="207"/>
      <c r="M58" s="121"/>
      <c r="N58" s="205">
        <v>1000</v>
      </c>
      <c r="O58" s="206"/>
      <c r="P58" s="207"/>
      <c r="Q58" s="121"/>
      <c r="R58" s="147">
        <v>240000</v>
      </c>
      <c r="S58" s="121"/>
      <c r="T58" s="3"/>
      <c r="U58" s="121"/>
      <c r="V58" s="3"/>
      <c r="W58" s="121"/>
      <c r="X58" s="3"/>
      <c r="Y58" s="54"/>
      <c r="Z58" s="55">
        <f>SUM(F58:X58)</f>
        <v>587301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147">
        <v>4991565</v>
      </c>
      <c r="G60" s="121"/>
      <c r="H60" s="147">
        <v>304620</v>
      </c>
      <c r="I60" s="121"/>
      <c r="J60" s="205">
        <v>581406</v>
      </c>
      <c r="K60" s="206"/>
      <c r="L60" s="207"/>
      <c r="M60" s="121"/>
      <c r="N60" s="205">
        <v>9412</v>
      </c>
      <c r="O60" s="206"/>
      <c r="P60" s="207"/>
      <c r="Q60" s="121"/>
      <c r="R60" s="147">
        <v>47650</v>
      </c>
      <c r="S60" s="121"/>
      <c r="T60" s="3"/>
      <c r="U60" s="121"/>
      <c r="V60" s="3"/>
      <c r="W60" s="121"/>
      <c r="X60" s="3"/>
      <c r="Y60" s="54"/>
      <c r="Z60" s="55">
        <f>SUM(F60:X60)</f>
        <v>5934653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147">
        <v>266878</v>
      </c>
      <c r="G62" s="121"/>
      <c r="H62" s="147">
        <v>90852</v>
      </c>
      <c r="I62" s="121"/>
      <c r="J62" s="205">
        <v>32046</v>
      </c>
      <c r="K62" s="206"/>
      <c r="L62" s="207"/>
      <c r="M62" s="121"/>
      <c r="N62" s="205">
        <v>1500</v>
      </c>
      <c r="O62" s="206"/>
      <c r="P62" s="207"/>
      <c r="Q62" s="121"/>
      <c r="R62" s="147">
        <v>22610</v>
      </c>
      <c r="S62" s="121"/>
      <c r="T62" s="3"/>
      <c r="U62" s="121"/>
      <c r="V62" s="3"/>
      <c r="W62" s="121"/>
      <c r="X62" s="3"/>
      <c r="Y62" s="54"/>
      <c r="Z62" s="55">
        <f>SUM(F62:X62)</f>
        <v>413886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147">
        <v>150000</v>
      </c>
      <c r="G64" s="121"/>
      <c r="H64" s="147">
        <v>64130</v>
      </c>
      <c r="I64" s="121"/>
      <c r="J64" s="205">
        <v>93066</v>
      </c>
      <c r="K64" s="206"/>
      <c r="L64" s="207"/>
      <c r="M64" s="121"/>
      <c r="N64" s="205">
        <v>2000</v>
      </c>
      <c r="O64" s="206"/>
      <c r="P64" s="207"/>
      <c r="Q64" s="121"/>
      <c r="R64" s="147">
        <v>5000</v>
      </c>
      <c r="S64" s="121"/>
      <c r="T64" s="3"/>
      <c r="U64" s="121"/>
      <c r="V64" s="3"/>
      <c r="W64" s="121"/>
      <c r="X64" s="3"/>
      <c r="Y64" s="54"/>
      <c r="Z64" s="55">
        <f>SUM(F64:X64)</f>
        <v>314196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147">
        <v>78750</v>
      </c>
      <c r="G66" s="121"/>
      <c r="H66" s="147"/>
      <c r="I66" s="121"/>
      <c r="J66" s="205"/>
      <c r="K66" s="206"/>
      <c r="L66" s="207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78750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5702193</v>
      </c>
      <c r="G68" s="21"/>
      <c r="H68" s="68">
        <f>SUM(H58:H66)</f>
        <v>534421</v>
      </c>
      <c r="I68" s="57"/>
      <c r="J68" s="202">
        <f>SUM(J58:L66)</f>
        <v>763000</v>
      </c>
      <c r="K68" s="203"/>
      <c r="L68" s="204"/>
      <c r="M68" s="57"/>
      <c r="N68" s="202">
        <f>SUM(N58:P66)</f>
        <v>13912</v>
      </c>
      <c r="O68" s="203"/>
      <c r="P68" s="204"/>
      <c r="Q68" s="57"/>
      <c r="R68" s="67">
        <f>SUM(R58:R66)</f>
        <v>315260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7328786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7" zoomScale="90" zoomScaleNormal="90" zoomScalePageLayoutView="93" workbookViewId="0">
      <selection activeCell="H35" sqref="H3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121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8">
        <v>290287</v>
      </c>
      <c r="G21" s="149"/>
      <c r="H21" s="148">
        <v>61514.35</v>
      </c>
      <c r="I21" s="121"/>
      <c r="J21" s="217">
        <v>127964</v>
      </c>
      <c r="K21" s="218"/>
      <c r="L21" s="219"/>
      <c r="M21" s="121"/>
      <c r="N21" s="208"/>
      <c r="O21" s="209"/>
      <c r="P21" s="210"/>
      <c r="Q21" s="121"/>
      <c r="R21" s="148">
        <v>10207</v>
      </c>
      <c r="S21" s="121"/>
      <c r="T21" s="3"/>
      <c r="U21" s="121"/>
      <c r="V21" s="3"/>
      <c r="W21" s="121"/>
      <c r="X21" s="3"/>
      <c r="Y21" s="54"/>
      <c r="Z21" s="55">
        <f>SUM(F21:X21)</f>
        <v>489972.35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50"/>
      <c r="G22" s="151"/>
      <c r="H22" s="150"/>
      <c r="I22" s="124"/>
      <c r="J22" s="152"/>
      <c r="K22" s="151"/>
      <c r="L22" s="151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8">
        <v>440395</v>
      </c>
      <c r="G23" s="149"/>
      <c r="H23" s="156">
        <v>111025</v>
      </c>
      <c r="I23" s="121"/>
      <c r="J23" s="217">
        <v>158029</v>
      </c>
      <c r="K23" s="218"/>
      <c r="L23" s="219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709449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50"/>
      <c r="G24" s="151"/>
      <c r="H24" s="150"/>
      <c r="I24" s="124"/>
      <c r="J24" s="152"/>
      <c r="K24" s="151"/>
      <c r="L24" s="151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8">
        <v>119740</v>
      </c>
      <c r="G25" s="149"/>
      <c r="H25" s="148">
        <v>8230</v>
      </c>
      <c r="I25" s="121"/>
      <c r="J25" s="217">
        <v>0</v>
      </c>
      <c r="K25" s="218"/>
      <c r="L25" s="219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127970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50"/>
      <c r="G26" s="151"/>
      <c r="H26" s="150"/>
      <c r="I26" s="124"/>
      <c r="J26" s="152"/>
      <c r="K26" s="151"/>
      <c r="L26" s="151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148">
        <v>0</v>
      </c>
      <c r="G27" s="149"/>
      <c r="H27" s="148">
        <v>8230</v>
      </c>
      <c r="I27" s="121"/>
      <c r="J27" s="217">
        <v>0</v>
      </c>
      <c r="K27" s="218"/>
      <c r="L27" s="219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8230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50"/>
      <c r="G28" s="151"/>
      <c r="H28" s="150"/>
      <c r="I28" s="124"/>
      <c r="J28" s="152"/>
      <c r="K28" s="151"/>
      <c r="L28" s="151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148">
        <v>110256</v>
      </c>
      <c r="G29" s="149"/>
      <c r="H29" s="148">
        <v>157500</v>
      </c>
      <c r="I29" s="121"/>
      <c r="J29" s="217">
        <v>0</v>
      </c>
      <c r="K29" s="218"/>
      <c r="L29" s="219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267756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50"/>
      <c r="G30" s="151"/>
      <c r="H30" s="150"/>
      <c r="I30" s="124"/>
      <c r="J30" s="152"/>
      <c r="K30" s="151"/>
      <c r="L30" s="151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148">
        <v>359222</v>
      </c>
      <c r="G31" s="149"/>
      <c r="H31" s="148">
        <v>65000</v>
      </c>
      <c r="I31" s="121"/>
      <c r="J31" s="217">
        <v>0</v>
      </c>
      <c r="K31" s="218"/>
      <c r="L31" s="219"/>
      <c r="M31" s="121"/>
      <c r="N31" s="217">
        <v>13794</v>
      </c>
      <c r="O31" s="218"/>
      <c r="P31" s="21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438016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50"/>
      <c r="G32" s="151"/>
      <c r="H32" s="150"/>
      <c r="I32" s="124"/>
      <c r="J32" s="152"/>
      <c r="K32" s="151"/>
      <c r="L32" s="151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148">
        <v>0</v>
      </c>
      <c r="G33" s="149"/>
      <c r="H33" s="148"/>
      <c r="I33" s="121"/>
      <c r="J33" s="217">
        <v>0</v>
      </c>
      <c r="K33" s="218"/>
      <c r="L33" s="219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1319900</v>
      </c>
      <c r="G35" s="21"/>
      <c r="H35" s="68">
        <f>SUM(H21:H33)</f>
        <v>411499.35</v>
      </c>
      <c r="I35" s="57"/>
      <c r="J35" s="202">
        <f>SUM(J21:L33)</f>
        <v>285993</v>
      </c>
      <c r="K35" s="203"/>
      <c r="L35" s="204"/>
      <c r="M35" s="57"/>
      <c r="N35" s="202">
        <f>SUM(N21:P33)</f>
        <v>13794</v>
      </c>
      <c r="O35" s="203"/>
      <c r="P35" s="204"/>
      <c r="Q35" s="57"/>
      <c r="R35" s="67">
        <f>SUM(R21:R33)</f>
        <v>10207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2041393.35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153">
        <v>1319900</v>
      </c>
      <c r="G44" s="121"/>
      <c r="H44" s="3">
        <f>F44*0.0594</f>
        <v>78402.06</v>
      </c>
      <c r="I44" s="86"/>
      <c r="J44" s="141">
        <f>IFERROR(H44/F44,0)</f>
        <v>5.9400000000000001E-2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154">
        <v>411499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1731399</v>
      </c>
      <c r="G48" s="21"/>
      <c r="H48" s="67">
        <f>H44</f>
        <v>78402.06</v>
      </c>
      <c r="I48" s="83"/>
      <c r="J48" s="141">
        <f>IFERROR(H48/F48,0)</f>
        <v>4.5282491210864736E-2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147"/>
      <c r="G58" s="121"/>
      <c r="H58" s="147">
        <v>119335</v>
      </c>
      <c r="I58" s="121"/>
      <c r="J58" s="205">
        <v>9600</v>
      </c>
      <c r="K58" s="206"/>
      <c r="L58" s="207"/>
      <c r="M58" s="121"/>
      <c r="N58" s="205">
        <v>13794</v>
      </c>
      <c r="O58" s="206"/>
      <c r="P58" s="207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142729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147">
        <v>1274900</v>
      </c>
      <c r="G60" s="121"/>
      <c r="H60" s="147">
        <v>267474</v>
      </c>
      <c r="I60" s="121"/>
      <c r="J60" s="205">
        <v>249982</v>
      </c>
      <c r="K60" s="206"/>
      <c r="L60" s="207"/>
      <c r="M60" s="121"/>
      <c r="N60" s="208"/>
      <c r="O60" s="209"/>
      <c r="P60" s="210"/>
      <c r="Q60" s="121"/>
      <c r="R60" s="147">
        <v>10207</v>
      </c>
      <c r="S60" s="121"/>
      <c r="T60" s="3"/>
      <c r="U60" s="121"/>
      <c r="V60" s="3"/>
      <c r="W60" s="121"/>
      <c r="X60" s="3"/>
      <c r="Y60" s="54"/>
      <c r="Z60" s="55">
        <f>SUM(F60:X60)</f>
        <v>1802563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147">
        <v>5000</v>
      </c>
      <c r="G62" s="121"/>
      <c r="H62" s="147"/>
      <c r="I62" s="121"/>
      <c r="J62" s="205"/>
      <c r="K62" s="206"/>
      <c r="L62" s="207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5000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147"/>
      <c r="G64" s="121"/>
      <c r="H64" s="147">
        <v>24690</v>
      </c>
      <c r="I64" s="121"/>
      <c r="J64" s="205">
        <v>26411</v>
      </c>
      <c r="K64" s="206"/>
      <c r="L64" s="207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51101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147">
        <v>40000</v>
      </c>
      <c r="G66" s="121"/>
      <c r="H66" s="147"/>
      <c r="I66" s="121"/>
      <c r="J66" s="205"/>
      <c r="K66" s="206"/>
      <c r="L66" s="207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40000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1319900</v>
      </c>
      <c r="G68" s="21"/>
      <c r="H68" s="68">
        <f>SUM(H58:H66)</f>
        <v>411499</v>
      </c>
      <c r="I68" s="57"/>
      <c r="J68" s="202">
        <f>SUM(J58:L66)</f>
        <v>285993</v>
      </c>
      <c r="K68" s="203"/>
      <c r="L68" s="204"/>
      <c r="M68" s="57"/>
      <c r="N68" s="202">
        <f>SUM(N58:P66)</f>
        <v>13794</v>
      </c>
      <c r="O68" s="203"/>
      <c r="P68" s="204"/>
      <c r="Q68" s="57"/>
      <c r="R68" s="67">
        <f>SUM(R58:R66)</f>
        <v>10207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2041393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9" zoomScaleNormal="100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122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709134</v>
      </c>
      <c r="G21" s="121"/>
      <c r="H21" s="147">
        <v>292041</v>
      </c>
      <c r="I21" s="121"/>
      <c r="J21" s="205">
        <v>203913</v>
      </c>
      <c r="K21" s="206"/>
      <c r="L21" s="207"/>
      <c r="M21" s="121"/>
      <c r="N21" s="205"/>
      <c r="O21" s="206"/>
      <c r="P21" s="207"/>
      <c r="Q21" s="121"/>
      <c r="R21" s="147">
        <v>652945</v>
      </c>
      <c r="S21" s="121"/>
      <c r="T21" s="3"/>
      <c r="U21" s="121"/>
      <c r="V21" s="3"/>
      <c r="W21" s="121"/>
      <c r="X21" s="3"/>
      <c r="Y21" s="54"/>
      <c r="Z21" s="55">
        <f>SUM(F21:X21)</f>
        <v>1858033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697413</v>
      </c>
      <c r="G23" s="121"/>
      <c r="H23" s="147">
        <v>284918</v>
      </c>
      <c r="I23" s="121"/>
      <c r="J23" s="205">
        <v>200542</v>
      </c>
      <c r="K23" s="206"/>
      <c r="L23" s="207"/>
      <c r="M23" s="121"/>
      <c r="N23" s="205"/>
      <c r="O23" s="206"/>
      <c r="P23" s="207"/>
      <c r="Q23" s="121"/>
      <c r="R23" s="147">
        <v>44203</v>
      </c>
      <c r="S23" s="121"/>
      <c r="T23" s="3"/>
      <c r="U23" s="121"/>
      <c r="V23" s="3"/>
      <c r="W23" s="121"/>
      <c r="X23" s="3"/>
      <c r="Y23" s="54"/>
      <c r="Z23" s="55">
        <f>SUM(F23:X23)</f>
        <v>1227076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5"/>
      <c r="K25" s="206"/>
      <c r="L25" s="207"/>
      <c r="M25" s="121"/>
      <c r="N25" s="205"/>
      <c r="O25" s="206"/>
      <c r="P25" s="207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5"/>
      <c r="K27" s="206"/>
      <c r="L27" s="207"/>
      <c r="M27" s="121"/>
      <c r="N27" s="205"/>
      <c r="O27" s="206"/>
      <c r="P27" s="207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5"/>
      <c r="K29" s="206"/>
      <c r="L29" s="207"/>
      <c r="M29" s="121"/>
      <c r="N29" s="205"/>
      <c r="O29" s="206"/>
      <c r="P29" s="207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147">
        <v>327022</v>
      </c>
      <c r="G31" s="121"/>
      <c r="H31" s="147">
        <v>135336</v>
      </c>
      <c r="I31" s="121"/>
      <c r="J31" s="205"/>
      <c r="K31" s="206"/>
      <c r="L31" s="207"/>
      <c r="M31" s="121"/>
      <c r="N31" s="205">
        <v>13137</v>
      </c>
      <c r="O31" s="206"/>
      <c r="P31" s="207"/>
      <c r="Q31" s="121"/>
      <c r="R31" s="147">
        <v>265220</v>
      </c>
      <c r="S31" s="121"/>
      <c r="T31" s="3"/>
      <c r="U31" s="121"/>
      <c r="V31" s="3"/>
      <c r="W31" s="121"/>
      <c r="X31" s="3"/>
      <c r="Y31" s="54"/>
      <c r="Z31" s="55">
        <f>SUM(F31:X31)</f>
        <v>740715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5"/>
      <c r="K33" s="206"/>
      <c r="L33" s="207"/>
      <c r="M33" s="121"/>
      <c r="N33" s="205"/>
      <c r="O33" s="206"/>
      <c r="P33" s="207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1733569</v>
      </c>
      <c r="G35" s="21"/>
      <c r="H35" s="68">
        <f>SUM(H21:H33)</f>
        <v>712295</v>
      </c>
      <c r="I35" s="57"/>
      <c r="J35" s="202">
        <f>SUM(J21:L33)</f>
        <v>404455</v>
      </c>
      <c r="K35" s="203"/>
      <c r="L35" s="204"/>
      <c r="M35" s="57"/>
      <c r="N35" s="202">
        <f>SUM(N21:P33)</f>
        <v>13137</v>
      </c>
      <c r="O35" s="203"/>
      <c r="P35" s="204"/>
      <c r="Q35" s="57"/>
      <c r="R35" s="67">
        <f>SUM(R21:R33)</f>
        <v>962368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3825824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147">
        <v>1733570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147">
        <v>712295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2445865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147">
        <v>100000</v>
      </c>
      <c r="G58" s="121"/>
      <c r="H58" s="147">
        <v>150000</v>
      </c>
      <c r="I58" s="121"/>
      <c r="J58" s="208">
        <v>80891</v>
      </c>
      <c r="K58" s="209"/>
      <c r="L58" s="210"/>
      <c r="M58" s="121"/>
      <c r="N58" s="205">
        <v>1115</v>
      </c>
      <c r="O58" s="206"/>
      <c r="P58" s="207"/>
      <c r="Q58" s="121"/>
      <c r="R58" s="147">
        <v>202662</v>
      </c>
      <c r="S58" s="121"/>
      <c r="T58" s="3"/>
      <c r="U58" s="121"/>
      <c r="V58" s="3"/>
      <c r="W58" s="121"/>
      <c r="X58" s="3"/>
      <c r="Y58" s="54"/>
      <c r="Z58" s="55">
        <f>SUM(F58:X58)</f>
        <v>534668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147">
        <v>1630070</v>
      </c>
      <c r="G60" s="121"/>
      <c r="H60" s="147">
        <v>497295</v>
      </c>
      <c r="I60" s="121"/>
      <c r="J60" s="208">
        <v>204422</v>
      </c>
      <c r="K60" s="209"/>
      <c r="L60" s="210"/>
      <c r="M60" s="121"/>
      <c r="N60" s="205">
        <v>11522</v>
      </c>
      <c r="O60" s="206"/>
      <c r="P60" s="207"/>
      <c r="Q60" s="121"/>
      <c r="R60" s="147">
        <v>671886</v>
      </c>
      <c r="S60" s="121"/>
      <c r="T60" s="3"/>
      <c r="U60" s="121"/>
      <c r="V60" s="3"/>
      <c r="W60" s="121"/>
      <c r="X60" s="3"/>
      <c r="Y60" s="54"/>
      <c r="Z60" s="55">
        <f>SUM(F60:X60)</f>
        <v>3015195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147"/>
      <c r="G62" s="121"/>
      <c r="H62" s="147">
        <v>40000</v>
      </c>
      <c r="I62" s="121"/>
      <c r="J62" s="208">
        <v>23539</v>
      </c>
      <c r="K62" s="209"/>
      <c r="L62" s="210"/>
      <c r="M62" s="121"/>
      <c r="N62" s="205">
        <v>500</v>
      </c>
      <c r="O62" s="206"/>
      <c r="P62" s="207"/>
      <c r="Q62" s="121"/>
      <c r="R62" s="147">
        <v>54043</v>
      </c>
      <c r="S62" s="121"/>
      <c r="T62" s="3"/>
      <c r="U62" s="121"/>
      <c r="V62" s="3"/>
      <c r="W62" s="121"/>
      <c r="X62" s="3"/>
      <c r="Y62" s="54"/>
      <c r="Z62" s="55">
        <f>SUM(F62:X62)</f>
        <v>118082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147">
        <v>3000</v>
      </c>
      <c r="G64" s="121"/>
      <c r="H64" s="147">
        <v>20000</v>
      </c>
      <c r="I64" s="121"/>
      <c r="J64" s="208">
        <v>14712</v>
      </c>
      <c r="K64" s="209"/>
      <c r="L64" s="210"/>
      <c r="M64" s="121"/>
      <c r="N64" s="208"/>
      <c r="O64" s="209"/>
      <c r="P64" s="210"/>
      <c r="Q64" s="121"/>
      <c r="R64" s="147">
        <v>33777</v>
      </c>
      <c r="S64" s="121"/>
      <c r="T64" s="3"/>
      <c r="U64" s="121"/>
      <c r="V64" s="3"/>
      <c r="W64" s="121"/>
      <c r="X64" s="3"/>
      <c r="Y64" s="54"/>
      <c r="Z64" s="55">
        <f>SUM(F64:X64)</f>
        <v>71489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147">
        <v>500</v>
      </c>
      <c r="G66" s="121"/>
      <c r="H66" s="147">
        <v>5000</v>
      </c>
      <c r="I66" s="121"/>
      <c r="J66" s="208">
        <v>80891</v>
      </c>
      <c r="K66" s="209"/>
      <c r="L66" s="210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86391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1733570</v>
      </c>
      <c r="G68" s="21"/>
      <c r="H68" s="68">
        <f>SUM(H58:H66)</f>
        <v>712295</v>
      </c>
      <c r="I68" s="57"/>
      <c r="J68" s="202">
        <f>SUM(J58:L66)</f>
        <v>404455</v>
      </c>
      <c r="K68" s="203"/>
      <c r="L68" s="204"/>
      <c r="M68" s="57"/>
      <c r="N68" s="202">
        <f>SUM(N58:P66)</f>
        <v>13137</v>
      </c>
      <c r="O68" s="203"/>
      <c r="P68" s="204"/>
      <c r="Q68" s="57"/>
      <c r="R68" s="67">
        <f>SUM(R58:R66)</f>
        <v>962368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3825825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C18" zoomScaleNormal="100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123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755788</v>
      </c>
      <c r="G21" s="121"/>
      <c r="H21" s="147">
        <f>152039-4</f>
        <v>152035</v>
      </c>
      <c r="I21" s="121"/>
      <c r="J21" s="205">
        <v>62888.24</v>
      </c>
      <c r="K21" s="206"/>
      <c r="L21" s="207"/>
      <c r="M21" s="121"/>
      <c r="N21" s="208"/>
      <c r="O21" s="209"/>
      <c r="P21" s="210"/>
      <c r="Q21" s="121"/>
      <c r="R21" s="147">
        <v>33692</v>
      </c>
      <c r="S21" s="121"/>
      <c r="T21" s="3"/>
      <c r="U21" s="121"/>
      <c r="V21" s="3"/>
      <c r="W21" s="121"/>
      <c r="X21" s="3"/>
      <c r="Y21" s="54"/>
      <c r="Z21" s="55">
        <f>SUM(F21:X21)</f>
        <v>1004403.24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1824316</v>
      </c>
      <c r="G23" s="121"/>
      <c r="H23" s="147">
        <f>366990</f>
        <v>366990</v>
      </c>
      <c r="I23" s="121"/>
      <c r="J23" s="205">
        <v>153967.76</v>
      </c>
      <c r="K23" s="206"/>
      <c r="L23" s="207"/>
      <c r="M23" s="121"/>
      <c r="N23" s="208"/>
      <c r="O23" s="209"/>
      <c r="P23" s="210"/>
      <c r="Q23" s="121"/>
      <c r="R23" s="147">
        <v>81325</v>
      </c>
      <c r="S23" s="121"/>
      <c r="T23" s="3"/>
      <c r="U23" s="121"/>
      <c r="V23" s="3"/>
      <c r="W23" s="121"/>
      <c r="X23" s="3"/>
      <c r="Y23" s="54"/>
      <c r="Z23" s="55">
        <f>SUM(F23:X23)</f>
        <v>2426598.7599999998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5"/>
      <c r="K25" s="206"/>
      <c r="L25" s="207"/>
      <c r="M25" s="121"/>
      <c r="N25" s="208"/>
      <c r="O25" s="209"/>
      <c r="P25" s="210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5"/>
      <c r="K27" s="206"/>
      <c r="L27" s="207"/>
      <c r="M27" s="121"/>
      <c r="N27" s="208"/>
      <c r="O27" s="209"/>
      <c r="P27" s="210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5"/>
      <c r="K29" s="206"/>
      <c r="L29" s="207"/>
      <c r="M29" s="121"/>
      <c r="N29" s="208"/>
      <c r="O29" s="209"/>
      <c r="P29" s="210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147">
        <v>26062</v>
      </c>
      <c r="G31" s="121"/>
      <c r="H31" s="147">
        <v>5242</v>
      </c>
      <c r="I31" s="121"/>
      <c r="J31" s="205"/>
      <c r="K31" s="206"/>
      <c r="L31" s="207"/>
      <c r="M31" s="121"/>
      <c r="N31" s="208"/>
      <c r="O31" s="209"/>
      <c r="P31" s="210"/>
      <c r="Q31" s="121"/>
      <c r="R31" s="147">
        <v>1162</v>
      </c>
      <c r="S31" s="121"/>
      <c r="T31" s="3"/>
      <c r="U31" s="121"/>
      <c r="V31" s="3"/>
      <c r="W31" s="121"/>
      <c r="X31" s="3"/>
      <c r="Y31" s="54"/>
      <c r="Z31" s="55">
        <f>SUM(F31:X31)</f>
        <v>32466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2606166</v>
      </c>
      <c r="G35" s="21"/>
      <c r="H35" s="68">
        <f>SUM(H21:H33)</f>
        <v>524267</v>
      </c>
      <c r="I35" s="57"/>
      <c r="J35" s="202">
        <f>SUM(J21:L33)</f>
        <v>216856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116179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3463468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153">
        <v>2606166</v>
      </c>
      <c r="G44" s="121"/>
      <c r="H44" s="3">
        <f>F44*0.0547</f>
        <v>142557.28020000001</v>
      </c>
      <c r="I44" s="86"/>
      <c r="J44" s="141">
        <f>IFERROR(H44/F44,0)</f>
        <v>5.4700000000000006E-2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154">
        <v>524267</v>
      </c>
      <c r="G46" s="121"/>
      <c r="J46" s="143"/>
      <c r="K46" s="86"/>
      <c r="L46" s="155">
        <v>114398</v>
      </c>
      <c r="M46" s="101"/>
      <c r="N46" s="141">
        <f>IFERROR(L46/F46,0)</f>
        <v>0.21820560897405331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3130433</v>
      </c>
      <c r="G48" s="21"/>
      <c r="H48" s="67">
        <f>H44</f>
        <v>142557.28020000001</v>
      </c>
      <c r="I48" s="83"/>
      <c r="J48" s="141">
        <f>IFERROR(H48/F48,0)</f>
        <v>4.5539157107020022E-2</v>
      </c>
      <c r="K48" s="86"/>
      <c r="L48" s="67">
        <f>L46</f>
        <v>114398</v>
      </c>
      <c r="M48" s="83"/>
      <c r="N48" s="141">
        <f>IFERROR(L48/F48,0)</f>
        <v>3.6543826365234455E-2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147">
        <v>1300000</v>
      </c>
      <c r="G58" s="121"/>
      <c r="H58" s="147">
        <v>125825</v>
      </c>
      <c r="I58" s="121"/>
      <c r="J58" s="205">
        <v>57967</v>
      </c>
      <c r="K58" s="206"/>
      <c r="L58" s="207"/>
      <c r="M58" s="121"/>
      <c r="N58" s="208"/>
      <c r="O58" s="209"/>
      <c r="P58" s="210"/>
      <c r="Q58" s="121"/>
      <c r="R58" s="147">
        <v>36179</v>
      </c>
      <c r="S58" s="121"/>
      <c r="T58" s="3"/>
      <c r="U58" s="121"/>
      <c r="V58" s="3"/>
      <c r="W58" s="121"/>
      <c r="X58" s="3"/>
      <c r="Y58" s="54"/>
      <c r="Z58" s="55">
        <f>SUM(F58:X58)</f>
        <v>1519971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147">
        <v>1100000</v>
      </c>
      <c r="G60" s="121"/>
      <c r="H60" s="147">
        <v>125825</v>
      </c>
      <c r="I60" s="121"/>
      <c r="J60" s="205">
        <v>70000</v>
      </c>
      <c r="K60" s="206"/>
      <c r="L60" s="207"/>
      <c r="M60" s="121"/>
      <c r="N60" s="208"/>
      <c r="O60" s="209"/>
      <c r="P60" s="210"/>
      <c r="Q60" s="121"/>
      <c r="R60" s="147">
        <v>60000</v>
      </c>
      <c r="S60" s="121"/>
      <c r="T60" s="3"/>
      <c r="U60" s="121"/>
      <c r="V60" s="3"/>
      <c r="W60" s="121"/>
      <c r="X60" s="3"/>
      <c r="Y60" s="54"/>
      <c r="Z60" s="55">
        <f>SUM(F60:X60)</f>
        <v>1355825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147">
        <v>100000</v>
      </c>
      <c r="G62" s="121"/>
      <c r="H62" s="147">
        <v>94369</v>
      </c>
      <c r="I62" s="121"/>
      <c r="J62" s="205">
        <v>40000</v>
      </c>
      <c r="K62" s="206"/>
      <c r="L62" s="207"/>
      <c r="M62" s="121"/>
      <c r="N62" s="208"/>
      <c r="O62" s="209"/>
      <c r="P62" s="210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234369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147">
        <v>65000</v>
      </c>
      <c r="G64" s="121"/>
      <c r="H64" s="147">
        <v>78640</v>
      </c>
      <c r="I64" s="121"/>
      <c r="J64" s="205">
        <v>20000</v>
      </c>
      <c r="K64" s="206"/>
      <c r="L64" s="207"/>
      <c r="M64" s="121"/>
      <c r="N64" s="208"/>
      <c r="O64" s="209"/>
      <c r="P64" s="210"/>
      <c r="Q64" s="121"/>
      <c r="R64" s="147">
        <v>10000</v>
      </c>
      <c r="S64" s="121"/>
      <c r="T64" s="3"/>
      <c r="U64" s="121"/>
      <c r="V64" s="3"/>
      <c r="W64" s="121"/>
      <c r="X64" s="3"/>
      <c r="Y64" s="54"/>
      <c r="Z64" s="55">
        <f>SUM(F64:X64)</f>
        <v>173640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147">
        <v>41166</v>
      </c>
      <c r="G66" s="121"/>
      <c r="H66" s="147">
        <v>99612</v>
      </c>
      <c r="I66" s="121"/>
      <c r="J66" s="205">
        <v>28889</v>
      </c>
      <c r="K66" s="206"/>
      <c r="L66" s="207"/>
      <c r="M66" s="121"/>
      <c r="N66" s="208"/>
      <c r="O66" s="209"/>
      <c r="P66" s="210"/>
      <c r="Q66" s="121"/>
      <c r="R66" s="147">
        <v>10000</v>
      </c>
      <c r="S66" s="121"/>
      <c r="T66" s="3"/>
      <c r="U66" s="121"/>
      <c r="V66" s="3"/>
      <c r="W66" s="121"/>
      <c r="X66" s="3"/>
      <c r="Y66" s="54"/>
      <c r="Z66" s="55">
        <f>SUM(F66:X66)</f>
        <v>179667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2606166</v>
      </c>
      <c r="G68" s="21"/>
      <c r="H68" s="68">
        <f>SUM(H58:H66)</f>
        <v>524271</v>
      </c>
      <c r="I68" s="57"/>
      <c r="J68" s="202">
        <f>SUM(J58:L66)</f>
        <v>216856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116179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3463472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8" zoomScale="90" zoomScaleNormal="90" zoomScalePageLayoutView="93" workbookViewId="0">
      <selection activeCell="H58" sqref="H5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124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132469</v>
      </c>
      <c r="G21" s="121"/>
      <c r="H21" s="147">
        <v>63445</v>
      </c>
      <c r="I21" s="121"/>
      <c r="J21" s="205">
        <v>194066</v>
      </c>
      <c r="K21" s="206"/>
      <c r="L21" s="207"/>
      <c r="M21" s="121"/>
      <c r="N21" s="208"/>
      <c r="O21" s="209"/>
      <c r="P21" s="210"/>
      <c r="Q21" s="121"/>
      <c r="R21" s="3"/>
      <c r="S21" s="121"/>
      <c r="T21" s="3"/>
      <c r="U21" s="121"/>
      <c r="V21" s="3"/>
      <c r="W21" s="121"/>
      <c r="X21" s="147">
        <v>2032800</v>
      </c>
      <c r="Y21" s="54"/>
      <c r="Z21" s="55">
        <f>SUM(F21:X21)</f>
        <v>2422780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347707</v>
      </c>
      <c r="G23" s="121"/>
      <c r="H23" s="147">
        <v>171537</v>
      </c>
      <c r="I23" s="121"/>
      <c r="J23" s="205">
        <v>180815</v>
      </c>
      <c r="K23" s="206"/>
      <c r="L23" s="207"/>
      <c r="M23" s="121"/>
      <c r="N23" s="208"/>
      <c r="O23" s="209"/>
      <c r="P23" s="210"/>
      <c r="Q23" s="121"/>
      <c r="R23" s="3"/>
      <c r="S23" s="121"/>
      <c r="T23" s="3"/>
      <c r="U23" s="121"/>
      <c r="V23" s="3"/>
      <c r="W23" s="121"/>
      <c r="X23" s="147">
        <v>132000</v>
      </c>
      <c r="Y23" s="54"/>
      <c r="Z23" s="55">
        <f>SUM(F23:X23)</f>
        <v>832059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208"/>
      <c r="K25" s="209"/>
      <c r="L25" s="210"/>
      <c r="M25" s="121"/>
      <c r="N25" s="208"/>
      <c r="O25" s="209"/>
      <c r="P25" s="210"/>
      <c r="Q25" s="121"/>
      <c r="R25" s="3"/>
      <c r="S25" s="121"/>
      <c r="T25" s="3"/>
      <c r="U25" s="121"/>
      <c r="V25" s="3"/>
      <c r="W25" s="121"/>
      <c r="X25" s="147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208"/>
      <c r="K27" s="209"/>
      <c r="L27" s="210"/>
      <c r="M27" s="121"/>
      <c r="N27" s="208"/>
      <c r="O27" s="209"/>
      <c r="P27" s="210"/>
      <c r="Q27" s="121"/>
      <c r="R27" s="3"/>
      <c r="S27" s="121"/>
      <c r="T27" s="3"/>
      <c r="U27" s="121"/>
      <c r="V27" s="3"/>
      <c r="W27" s="121"/>
      <c r="X27" s="147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208"/>
      <c r="K29" s="209"/>
      <c r="L29" s="210"/>
      <c r="M29" s="121"/>
      <c r="N29" s="208"/>
      <c r="O29" s="209"/>
      <c r="P29" s="210"/>
      <c r="Q29" s="121"/>
      <c r="R29" s="3"/>
      <c r="S29" s="121"/>
      <c r="T29" s="3"/>
      <c r="U29" s="121"/>
      <c r="V29" s="3"/>
      <c r="W29" s="121"/>
      <c r="X29" s="147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208"/>
      <c r="K31" s="209"/>
      <c r="L31" s="210"/>
      <c r="M31" s="121"/>
      <c r="N31" s="208"/>
      <c r="O31" s="209"/>
      <c r="P31" s="210"/>
      <c r="Q31" s="121"/>
      <c r="R31" s="3"/>
      <c r="S31" s="121"/>
      <c r="T31" s="3"/>
      <c r="U31" s="121"/>
      <c r="V31" s="3"/>
      <c r="W31" s="121"/>
      <c r="X31" s="147">
        <v>475200</v>
      </c>
      <c r="Y31" s="54"/>
      <c r="Z31" s="55">
        <f>SUM(F31:X31)</f>
        <v>475200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208"/>
      <c r="K33" s="209"/>
      <c r="L33" s="210"/>
      <c r="M33" s="121"/>
      <c r="N33" s="208"/>
      <c r="O33" s="209"/>
      <c r="P33" s="210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480176</v>
      </c>
      <c r="G35" s="21"/>
      <c r="H35" s="68">
        <f>SUM(H21:H33)</f>
        <v>234982</v>
      </c>
      <c r="I35" s="57"/>
      <c r="J35" s="202">
        <f>SUM(J21:L33)</f>
        <v>374881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2640000</v>
      </c>
      <c r="Y35" s="57"/>
      <c r="Z35" s="68">
        <f>SUM(Z21:Z33)</f>
        <v>3730039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147">
        <v>480176</v>
      </c>
      <c r="G44" s="121"/>
      <c r="H44" s="3">
        <f>F44*0.0396</f>
        <v>19014.9696</v>
      </c>
      <c r="I44" s="86"/>
      <c r="J44" s="141">
        <f>IFERROR(H44/F44,0)</f>
        <v>3.9600000000000003E-2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147">
        <v>234982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715158</v>
      </c>
      <c r="G48" s="21"/>
      <c r="H48" s="67">
        <f>H44</f>
        <v>19014.9696</v>
      </c>
      <c r="I48" s="83"/>
      <c r="J48" s="141">
        <f>IFERROR(H48/F48,0)</f>
        <v>2.6588487578968565E-2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147">
        <v>240088</v>
      </c>
      <c r="G58" s="121"/>
      <c r="H58" s="147">
        <v>140989</v>
      </c>
      <c r="I58" s="121"/>
      <c r="J58" s="205">
        <v>93721</v>
      </c>
      <c r="K58" s="206"/>
      <c r="L58" s="207"/>
      <c r="M58" s="121"/>
      <c r="N58" s="208"/>
      <c r="O58" s="209"/>
      <c r="P58" s="210"/>
      <c r="Q58" s="121"/>
      <c r="R58" s="3"/>
      <c r="S58" s="121"/>
      <c r="T58" s="3"/>
      <c r="U58" s="121"/>
      <c r="V58" s="3"/>
      <c r="W58" s="121"/>
      <c r="X58" s="147">
        <v>1584000</v>
      </c>
      <c r="Y58" s="54"/>
      <c r="Z58" s="55">
        <f>SUM(F58:X58)</f>
        <v>2058798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147">
        <v>168061</v>
      </c>
      <c r="G60" s="121"/>
      <c r="H60" s="147">
        <v>46996</v>
      </c>
      <c r="I60" s="121"/>
      <c r="J60" s="205">
        <v>74976</v>
      </c>
      <c r="K60" s="206"/>
      <c r="L60" s="207"/>
      <c r="M60" s="121"/>
      <c r="N60" s="208"/>
      <c r="O60" s="209"/>
      <c r="P60" s="210"/>
      <c r="Q60" s="121"/>
      <c r="R60" s="3"/>
      <c r="S60" s="121"/>
      <c r="T60" s="3"/>
      <c r="U60" s="121"/>
      <c r="V60" s="3"/>
      <c r="W60" s="121"/>
      <c r="X60" s="147">
        <v>528000</v>
      </c>
      <c r="Y60" s="54"/>
      <c r="Z60" s="55">
        <f>SUM(F60:X60)</f>
        <v>818033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147">
        <v>24009</v>
      </c>
      <c r="G62" s="121"/>
      <c r="H62" s="147">
        <v>11749</v>
      </c>
      <c r="I62" s="121"/>
      <c r="J62" s="205">
        <v>93720</v>
      </c>
      <c r="K62" s="206"/>
      <c r="L62" s="207"/>
      <c r="M62" s="121"/>
      <c r="N62" s="208"/>
      <c r="O62" s="209"/>
      <c r="P62" s="210"/>
      <c r="Q62" s="121"/>
      <c r="R62" s="3"/>
      <c r="S62" s="121"/>
      <c r="T62" s="3"/>
      <c r="U62" s="121"/>
      <c r="V62" s="3"/>
      <c r="W62" s="121"/>
      <c r="X62" s="147"/>
      <c r="Y62" s="54"/>
      <c r="Z62" s="55">
        <f>SUM(F62:X62)</f>
        <v>129478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147">
        <v>24009</v>
      </c>
      <c r="G64" s="121"/>
      <c r="H64" s="147">
        <v>25000</v>
      </c>
      <c r="I64" s="121"/>
      <c r="J64" s="205">
        <v>56232</v>
      </c>
      <c r="K64" s="206"/>
      <c r="L64" s="207"/>
      <c r="M64" s="121"/>
      <c r="N64" s="208"/>
      <c r="O64" s="209"/>
      <c r="P64" s="210"/>
      <c r="Q64" s="121"/>
      <c r="R64" s="3"/>
      <c r="S64" s="121"/>
      <c r="T64" s="3"/>
      <c r="U64" s="121"/>
      <c r="V64" s="3"/>
      <c r="W64" s="121"/>
      <c r="X64" s="147">
        <v>264000</v>
      </c>
      <c r="Y64" s="54"/>
      <c r="Z64" s="55">
        <f>SUM(F64:X64)</f>
        <v>369241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147">
        <v>24009</v>
      </c>
      <c r="G66" s="121"/>
      <c r="H66" s="147">
        <v>10248</v>
      </c>
      <c r="I66" s="121"/>
      <c r="J66" s="205">
        <v>56232</v>
      </c>
      <c r="K66" s="206"/>
      <c r="L66" s="207"/>
      <c r="M66" s="121"/>
      <c r="N66" s="208"/>
      <c r="O66" s="209"/>
      <c r="P66" s="210"/>
      <c r="Q66" s="121"/>
      <c r="R66" s="3"/>
      <c r="S66" s="121"/>
      <c r="T66" s="3"/>
      <c r="U66" s="121"/>
      <c r="V66" s="3"/>
      <c r="W66" s="121"/>
      <c r="X66" s="147">
        <v>264000</v>
      </c>
      <c r="Y66" s="54"/>
      <c r="Z66" s="55">
        <f>SUM(F66:X66)</f>
        <v>354489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480176</v>
      </c>
      <c r="G68" s="21"/>
      <c r="H68" s="68">
        <f>SUM(H58:H66)</f>
        <v>234982</v>
      </c>
      <c r="I68" s="57"/>
      <c r="J68" s="202">
        <f>SUM(J58:L66)</f>
        <v>374881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2640000</v>
      </c>
      <c r="Y68" s="57"/>
      <c r="Z68" s="68">
        <f>SUM(Z58:Z66)</f>
        <v>3730039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14" zoomScale="80" zoomScaleNormal="80" zoomScalePageLayoutView="93" workbookViewId="0">
      <selection activeCell="H58" sqref="H5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118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1"/>
      <c r="J17" s="176" t="s">
        <v>82</v>
      </c>
      <c r="K17" s="177"/>
      <c r="L17" s="178"/>
      <c r="M17" s="41"/>
      <c r="N17" s="176" t="s">
        <v>2</v>
      </c>
      <c r="O17" s="177"/>
      <c r="P17" s="178"/>
      <c r="Q17" s="41"/>
      <c r="R17" s="169" t="s">
        <v>3</v>
      </c>
      <c r="S17" s="41"/>
      <c r="T17" s="169" t="s">
        <v>6</v>
      </c>
      <c r="U17" s="41"/>
      <c r="V17" s="169" t="s">
        <v>4</v>
      </c>
      <c r="W17" s="41"/>
      <c r="X17" s="169" t="s">
        <v>7</v>
      </c>
      <c r="Y17" s="41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1"/>
      <c r="F19" s="47" t="s">
        <v>1</v>
      </c>
      <c r="G19" s="41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1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254372</v>
      </c>
      <c r="I21" s="121"/>
      <c r="J21" s="208">
        <v>0</v>
      </c>
      <c r="K21" s="209"/>
      <c r="L21" s="210"/>
      <c r="M21" s="121"/>
      <c r="N21" s="208">
        <v>0</v>
      </c>
      <c r="O21" s="209"/>
      <c r="P21" s="210"/>
      <c r="Q21" s="121"/>
      <c r="R21" s="3">
        <f>(258700+180467)*0.95*0.3</f>
        <v>125162.59499999999</v>
      </c>
      <c r="S21" s="121"/>
      <c r="T21" s="3">
        <v>0</v>
      </c>
      <c r="U21" s="121"/>
      <c r="V21" s="3">
        <f>(67.99*2868)+(969.92*4686)</f>
        <v>4740040.4400000004</v>
      </c>
      <c r="W21" s="121"/>
      <c r="X21" s="3">
        <v>0</v>
      </c>
      <c r="Y21" s="54"/>
      <c r="Z21" s="55">
        <f>SUM(F21:X21)</f>
        <v>5119575.0350000001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4"/>
      <c r="O22" s="123"/>
      <c r="P22" s="123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127186</v>
      </c>
      <c r="I23" s="121"/>
      <c r="J23" s="208">
        <v>0</v>
      </c>
      <c r="K23" s="209"/>
      <c r="L23" s="210"/>
      <c r="M23" s="121"/>
      <c r="N23" s="208">
        <v>0</v>
      </c>
      <c r="O23" s="209"/>
      <c r="P23" s="210"/>
      <c r="Q23" s="121"/>
      <c r="R23" s="3">
        <f>417215*0.15</f>
        <v>62582.25</v>
      </c>
      <c r="S23" s="121"/>
      <c r="T23" s="3">
        <v>0</v>
      </c>
      <c r="U23" s="121"/>
      <c r="V23" s="3">
        <f>(475.64*4868)+(11.99*2868)</f>
        <v>2349802.84</v>
      </c>
      <c r="W23" s="121"/>
      <c r="X23" s="3">
        <v>0</v>
      </c>
      <c r="Y23" s="54"/>
      <c r="Z23" s="55">
        <f>SUM(F23:X23)</f>
        <v>2539571.09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4"/>
      <c r="O24" s="123"/>
      <c r="P24" s="123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0</v>
      </c>
      <c r="I25" s="121"/>
      <c r="J25" s="208">
        <v>0</v>
      </c>
      <c r="K25" s="209"/>
      <c r="L25" s="210"/>
      <c r="M25" s="121"/>
      <c r="N25" s="208">
        <v>0</v>
      </c>
      <c r="O25" s="209"/>
      <c r="P25" s="210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4"/>
      <c r="O26" s="123"/>
      <c r="P26" s="123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0</v>
      </c>
      <c r="I27" s="121"/>
      <c r="J27" s="208">
        <v>0</v>
      </c>
      <c r="K27" s="209"/>
      <c r="L27" s="210"/>
      <c r="M27" s="121"/>
      <c r="N27" s="208">
        <v>0</v>
      </c>
      <c r="O27" s="209"/>
      <c r="P27" s="210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4"/>
      <c r="O28" s="123"/>
      <c r="P28" s="123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40700</v>
      </c>
      <c r="I29" s="121"/>
      <c r="J29" s="208">
        <v>0</v>
      </c>
      <c r="K29" s="209"/>
      <c r="L29" s="210"/>
      <c r="M29" s="121"/>
      <c r="N29" s="208">
        <v>0</v>
      </c>
      <c r="O29" s="209"/>
      <c r="P29" s="210"/>
      <c r="Q29" s="121"/>
      <c r="R29" s="3">
        <f>417215*0.3</f>
        <v>125164.5</v>
      </c>
      <c r="S29" s="121"/>
      <c r="T29" s="3">
        <v>0</v>
      </c>
      <c r="U29" s="121"/>
      <c r="V29" s="3">
        <f>(30.11*4868)+(15.91*2868)</f>
        <v>192205.36000000002</v>
      </c>
      <c r="W29" s="121"/>
      <c r="X29" s="3">
        <v>0</v>
      </c>
      <c r="Y29" s="54"/>
      <c r="Z29" s="55">
        <f>SUM(F29:X29)</f>
        <v>358069.86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4"/>
      <c r="O30" s="123"/>
      <c r="P30" s="123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76312</v>
      </c>
      <c r="I31" s="121"/>
      <c r="J31" s="208">
        <v>0</v>
      </c>
      <c r="K31" s="209"/>
      <c r="L31" s="210"/>
      <c r="M31" s="121"/>
      <c r="N31" s="208">
        <v>0</v>
      </c>
      <c r="O31" s="209"/>
      <c r="P31" s="210"/>
      <c r="Q31" s="121"/>
      <c r="R31" s="3">
        <f>417215*0.25+2</f>
        <v>104305.75</v>
      </c>
      <c r="S31" s="121"/>
      <c r="T31" s="3">
        <v>0</v>
      </c>
      <c r="U31" s="121"/>
      <c r="V31" s="3">
        <f>19.61*4868</f>
        <v>95461.48</v>
      </c>
      <c r="W31" s="121"/>
      <c r="X31" s="3">
        <v>0</v>
      </c>
      <c r="Y31" s="54"/>
      <c r="Z31" s="55">
        <f>SUM(F31:X31)</f>
        <v>276079.23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4"/>
      <c r="O32" s="123"/>
      <c r="P32" s="123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10175</v>
      </c>
      <c r="I33" s="121"/>
      <c r="J33" s="208">
        <v>0</v>
      </c>
      <c r="K33" s="209"/>
      <c r="L33" s="210"/>
      <c r="M33" s="121"/>
      <c r="N33" s="208">
        <v>0</v>
      </c>
      <c r="O33" s="209"/>
      <c r="P33" s="210"/>
      <c r="Q33" s="121"/>
      <c r="R33" s="3">
        <v>0</v>
      </c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10175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3"/>
      <c r="G34" s="10"/>
      <c r="H34" s="63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508745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417215.09499999997</v>
      </c>
      <c r="S35" s="57"/>
      <c r="T35" s="67">
        <f>SUM(T21:T33)</f>
        <v>0</v>
      </c>
      <c r="U35" s="57"/>
      <c r="V35" s="68">
        <f>SUM(V21:V33)</f>
        <v>7377510.120000001</v>
      </c>
      <c r="W35" s="57"/>
      <c r="X35" s="68">
        <f>SUM(X21:X33)</f>
        <v>0</v>
      </c>
      <c r="Y35" s="57"/>
      <c r="Z35" s="68">
        <f>SUM(Z21:Z33)</f>
        <v>8303470.2149999999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9" t="s">
        <v>103</v>
      </c>
      <c r="G40" s="41"/>
      <c r="H40" s="189" t="s">
        <v>102</v>
      </c>
      <c r="I40" s="190"/>
      <c r="J40" s="191"/>
      <c r="K40" s="41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1"/>
      <c r="F42" s="171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52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52" t="s">
        <v>110</v>
      </c>
      <c r="D46" s="53"/>
      <c r="E46" s="83"/>
      <c r="F46" s="3">
        <v>508745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508745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1"/>
      <c r="J53" s="176" t="s">
        <v>82</v>
      </c>
      <c r="K53" s="177"/>
      <c r="L53" s="178"/>
      <c r="M53" s="41"/>
      <c r="N53" s="176" t="s">
        <v>2</v>
      </c>
      <c r="O53" s="177"/>
      <c r="P53" s="178"/>
      <c r="Q53" s="41"/>
      <c r="R53" s="169" t="s">
        <v>3</v>
      </c>
      <c r="S53" s="41"/>
      <c r="T53" s="169" t="s">
        <v>6</v>
      </c>
      <c r="U53" s="41"/>
      <c r="V53" s="169" t="s">
        <v>4</v>
      </c>
      <c r="W53" s="41"/>
      <c r="X53" s="169" t="s">
        <v>7</v>
      </c>
      <c r="Y53" s="41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1"/>
      <c r="F55" s="47" t="s">
        <v>1</v>
      </c>
      <c r="G55" s="41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1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>
        <v>0</v>
      </c>
      <c r="G58" s="121"/>
      <c r="H58" s="3">
        <v>304656</v>
      </c>
      <c r="I58" s="121"/>
      <c r="J58" s="208">
        <v>0</v>
      </c>
      <c r="K58" s="209"/>
      <c r="L58" s="210"/>
      <c r="M58" s="121"/>
      <c r="N58" s="208">
        <v>0</v>
      </c>
      <c r="O58" s="209"/>
      <c r="P58" s="210"/>
      <c r="Q58" s="121"/>
      <c r="R58" s="3">
        <f>+R35*0.335</f>
        <v>139767.05682500001</v>
      </c>
      <c r="S58" s="121"/>
      <c r="T58" s="3">
        <v>0</v>
      </c>
      <c r="U58" s="121"/>
      <c r="V58" s="3">
        <f>+V35*0.6</f>
        <v>4426506.0720000006</v>
      </c>
      <c r="W58" s="121"/>
      <c r="X58" s="3">
        <v>0</v>
      </c>
      <c r="Y58" s="54"/>
      <c r="Z58" s="55">
        <f>SUM(F58:X58)</f>
        <v>4870929.1288250005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>
        <v>0</v>
      </c>
      <c r="G60" s="121"/>
      <c r="H60" s="3">
        <v>67737</v>
      </c>
      <c r="I60" s="121"/>
      <c r="J60" s="208">
        <v>0</v>
      </c>
      <c r="K60" s="209"/>
      <c r="L60" s="210"/>
      <c r="M60" s="121"/>
      <c r="N60" s="208">
        <v>0</v>
      </c>
      <c r="O60" s="209"/>
      <c r="P60" s="210"/>
      <c r="Q60" s="121"/>
      <c r="R60" s="3">
        <f>+R35*0.33</f>
        <v>137680.98134999999</v>
      </c>
      <c r="S60" s="121"/>
      <c r="T60" s="3">
        <v>0</v>
      </c>
      <c r="U60" s="121"/>
      <c r="V60" s="3">
        <f>+V35*0.13</f>
        <v>959076.31560000021</v>
      </c>
      <c r="W60" s="121"/>
      <c r="X60" s="3">
        <v>0</v>
      </c>
      <c r="Y60" s="54"/>
      <c r="Z60" s="55">
        <f>SUM(F60:X60)</f>
        <v>1164494.2969500001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>
        <v>0</v>
      </c>
      <c r="G62" s="121"/>
      <c r="H62" s="3">
        <v>41892</v>
      </c>
      <c r="I62" s="121"/>
      <c r="J62" s="208">
        <v>0</v>
      </c>
      <c r="K62" s="209"/>
      <c r="L62" s="210"/>
      <c r="M62" s="121"/>
      <c r="N62" s="208">
        <v>0</v>
      </c>
      <c r="O62" s="209"/>
      <c r="P62" s="210"/>
      <c r="Q62" s="121"/>
      <c r="R62" s="3">
        <f>+R35*0.335</f>
        <v>139767.05682500001</v>
      </c>
      <c r="S62" s="121"/>
      <c r="T62" s="3">
        <v>0</v>
      </c>
      <c r="U62" s="121"/>
      <c r="V62" s="3">
        <f>+V35*0.08</f>
        <v>590200.80960000015</v>
      </c>
      <c r="W62" s="121"/>
      <c r="X62" s="3">
        <v>0</v>
      </c>
      <c r="Y62" s="54"/>
      <c r="Z62" s="55">
        <f>SUM(F62:X62)</f>
        <v>771859.86642500013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>
        <v>0</v>
      </c>
      <c r="G64" s="121"/>
      <c r="H64" s="3">
        <v>14000</v>
      </c>
      <c r="I64" s="121"/>
      <c r="J64" s="208">
        <v>0</v>
      </c>
      <c r="K64" s="209"/>
      <c r="L64" s="210"/>
      <c r="M64" s="121"/>
      <c r="N64" s="208">
        <v>0</v>
      </c>
      <c r="O64" s="209"/>
      <c r="P64" s="210"/>
      <c r="Q64" s="121"/>
      <c r="R64" s="3">
        <v>0</v>
      </c>
      <c r="S64" s="121"/>
      <c r="T64" s="3">
        <v>0</v>
      </c>
      <c r="U64" s="121"/>
      <c r="V64" s="3">
        <f>+V35*0.03</f>
        <v>221325.30360000001</v>
      </c>
      <c r="W64" s="121"/>
      <c r="X64" s="3">
        <v>0</v>
      </c>
      <c r="Y64" s="54"/>
      <c r="Z64" s="55">
        <f>SUM(F64:X64)</f>
        <v>235325.30360000001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>
        <v>0</v>
      </c>
      <c r="G66" s="121"/>
      <c r="H66" s="3">
        <v>80460</v>
      </c>
      <c r="I66" s="121"/>
      <c r="J66" s="208">
        <v>0</v>
      </c>
      <c r="K66" s="209"/>
      <c r="L66" s="210"/>
      <c r="M66" s="121"/>
      <c r="N66" s="208">
        <v>0</v>
      </c>
      <c r="O66" s="209"/>
      <c r="P66" s="210"/>
      <c r="Q66" s="121"/>
      <c r="R66" s="3">
        <v>0</v>
      </c>
      <c r="S66" s="121"/>
      <c r="T66" s="3">
        <v>0</v>
      </c>
      <c r="U66" s="121"/>
      <c r="V66" s="3">
        <f>+V35*0.16</f>
        <v>1180401.6192000003</v>
      </c>
      <c r="W66" s="121"/>
      <c r="X66" s="3">
        <v>0</v>
      </c>
      <c r="Y66" s="54"/>
      <c r="Z66" s="55">
        <f>SUM(F66:X66)</f>
        <v>1260861.6192000003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3"/>
      <c r="G67" s="10"/>
      <c r="H67" s="63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508745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417215.09499999997</v>
      </c>
      <c r="S68" s="57"/>
      <c r="T68" s="67">
        <f>SUM(T58:T66)</f>
        <v>0</v>
      </c>
      <c r="U68" s="57"/>
      <c r="V68" s="68">
        <f>SUM(V58:V66)</f>
        <v>7377510.120000002</v>
      </c>
      <c r="W68" s="57"/>
      <c r="X68" s="68">
        <f>SUM(X58:X66)</f>
        <v>0</v>
      </c>
      <c r="Y68" s="57"/>
      <c r="Z68" s="68">
        <f>SUM(Z58:Z66)</f>
        <v>8303470.2150000017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D16" zoomScaleNormal="100" zoomScalePageLayoutView="93" workbookViewId="0">
      <selection activeCell="H32" sqref="H3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26953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26953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7265625" style="10" customWidth="1"/>
    <col min="23" max="23" width="1.26953125" style="11" customWidth="1"/>
    <col min="24" max="24" width="15.7265625" style="10" customWidth="1"/>
    <col min="25" max="25" width="1.26953125" style="11" customWidth="1"/>
    <col min="26" max="26" width="14" style="10" customWidth="1"/>
    <col min="27" max="27" width="2" style="11" customWidth="1"/>
    <col min="28" max="28" width="0.7265625" style="11" customWidth="1"/>
    <col min="29" max="29" width="11.40625" style="10" hidden="1" customWidth="1"/>
    <col min="30" max="30" width="0.7265625" style="11" hidden="1" customWidth="1"/>
    <col min="31" max="31" width="11.40625" style="10" hidden="1" customWidth="1"/>
    <col min="32" max="32" width="0.7265625" style="11" hidden="1" customWidth="1"/>
    <col min="33" max="33" width="11.40625" style="12" hidden="1" customWidth="1"/>
    <col min="34" max="35" width="0.7265625" style="11" hidden="1" customWidth="1"/>
    <col min="36" max="290" width="9.26953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96" t="s">
        <v>104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5" ht="37.15" customHeight="1" x14ac:dyDescent="0.65"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5" ht="15.25" x14ac:dyDescent="0.65"/>
    <row r="5" spans="1:35" s="16" customFormat="1" ht="2.6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97"/>
      <c r="C6" s="197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65">
      <c r="A11" s="13"/>
      <c r="B11" s="13"/>
      <c r="C11" s="26" t="s">
        <v>109</v>
      </c>
      <c r="D11" s="211" t="str">
        <f>Summary!D11:O11</f>
        <v xml:space="preserve">South Bay 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65">
      <c r="A13" s="13"/>
      <c r="B13" s="13"/>
      <c r="C13" s="26" t="s">
        <v>90</v>
      </c>
      <c r="D13" s="214" t="s">
        <v>119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72"/>
      <c r="D17" s="172"/>
      <c r="F17" s="173" t="s">
        <v>81</v>
      </c>
      <c r="G17" s="174"/>
      <c r="H17" s="175"/>
      <c r="I17" s="44"/>
      <c r="J17" s="176" t="s">
        <v>82</v>
      </c>
      <c r="K17" s="177"/>
      <c r="L17" s="178"/>
      <c r="M17" s="44"/>
      <c r="N17" s="176" t="s">
        <v>2</v>
      </c>
      <c r="O17" s="177"/>
      <c r="P17" s="178"/>
      <c r="Q17" s="44"/>
      <c r="R17" s="169" t="s">
        <v>3</v>
      </c>
      <c r="S17" s="44"/>
      <c r="T17" s="169" t="s">
        <v>6</v>
      </c>
      <c r="U17" s="44"/>
      <c r="V17" s="169" t="s">
        <v>4</v>
      </c>
      <c r="W17" s="44"/>
      <c r="X17" s="169" t="s">
        <v>7</v>
      </c>
      <c r="Y17" s="44"/>
      <c r="Z17" s="169" t="s">
        <v>0</v>
      </c>
      <c r="AA17" s="42"/>
    </row>
    <row r="18" spans="1:35" ht="5.15" customHeight="1" x14ac:dyDescent="0.6">
      <c r="A18" s="10"/>
      <c r="B18" s="40"/>
      <c r="C18" s="172"/>
      <c r="D18" s="172"/>
      <c r="F18" s="43"/>
      <c r="J18" s="179"/>
      <c r="K18" s="180"/>
      <c r="L18" s="181"/>
      <c r="N18" s="179"/>
      <c r="O18" s="180"/>
      <c r="P18" s="181"/>
      <c r="R18" s="170"/>
      <c r="T18" s="170"/>
      <c r="V18" s="170"/>
      <c r="X18" s="170"/>
      <c r="Z18" s="170"/>
      <c r="AA18" s="42"/>
    </row>
    <row r="19" spans="1:35" s="45" customFormat="1" ht="29.15" customHeight="1" thickBot="1" x14ac:dyDescent="0.75">
      <c r="B19" s="46"/>
      <c r="C19" s="172"/>
      <c r="D19" s="172"/>
      <c r="E19" s="44"/>
      <c r="F19" s="47" t="s">
        <v>1</v>
      </c>
      <c r="G19" s="44"/>
      <c r="H19" s="47" t="s">
        <v>89</v>
      </c>
      <c r="J19" s="182"/>
      <c r="K19" s="183"/>
      <c r="L19" s="184"/>
      <c r="N19" s="182"/>
      <c r="O19" s="183"/>
      <c r="P19" s="184"/>
      <c r="R19" s="171"/>
      <c r="T19" s="171"/>
      <c r="V19" s="171"/>
      <c r="X19" s="171"/>
      <c r="Z19" s="171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438757</v>
      </c>
      <c r="I21" s="121"/>
      <c r="J21" s="208">
        <v>0</v>
      </c>
      <c r="K21" s="209"/>
      <c r="L21" s="210"/>
      <c r="M21" s="121"/>
      <c r="N21" s="208">
        <v>0</v>
      </c>
      <c r="O21" s="209"/>
      <c r="P21" s="210"/>
      <c r="Q21" s="121"/>
      <c r="R21" s="3">
        <f>(274345+253607)*0.95*0.3</f>
        <v>150466.31999999998</v>
      </c>
      <c r="S21" s="121"/>
      <c r="T21" s="3">
        <v>0</v>
      </c>
      <c r="U21" s="121"/>
      <c r="V21" s="3">
        <f>(113.63*2868)+(1660.23*4686)</f>
        <v>8105728.6200000001</v>
      </c>
      <c r="W21" s="121"/>
      <c r="X21" s="3">
        <v>0</v>
      </c>
      <c r="Y21" s="54"/>
      <c r="Z21" s="55">
        <f>SUM(F21:X21)</f>
        <v>8694951.9399999995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4"/>
      <c r="O22" s="123"/>
      <c r="P22" s="123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410158</v>
      </c>
      <c r="I23" s="121"/>
      <c r="J23" s="208">
        <v>0</v>
      </c>
      <c r="K23" s="209"/>
      <c r="L23" s="210"/>
      <c r="M23" s="121"/>
      <c r="N23" s="208">
        <v>0</v>
      </c>
      <c r="O23" s="209"/>
      <c r="P23" s="210"/>
      <c r="Q23" s="121"/>
      <c r="R23" s="3">
        <f>501554*0.15</f>
        <v>75233.099999999991</v>
      </c>
      <c r="S23" s="121"/>
      <c r="T23" s="3">
        <v>0</v>
      </c>
      <c r="U23" s="121"/>
      <c r="V23" s="3">
        <f>(862.59*4868)+(3.58*2868)</f>
        <v>4209355.5600000005</v>
      </c>
      <c r="W23" s="121"/>
      <c r="X23" s="3">
        <v>0</v>
      </c>
      <c r="Y23" s="54"/>
      <c r="Z23" s="55">
        <f>SUM(F23:X23)</f>
        <v>4694746.66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4"/>
      <c r="O24" s="123"/>
      <c r="P24" s="123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208">
        <v>0</v>
      </c>
      <c r="K25" s="209"/>
      <c r="L25" s="210"/>
      <c r="M25" s="121"/>
      <c r="N25" s="208">
        <v>0</v>
      </c>
      <c r="O25" s="209"/>
      <c r="P25" s="210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4"/>
      <c r="O26" s="123"/>
      <c r="P26" s="123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208">
        <v>0</v>
      </c>
      <c r="K27" s="209"/>
      <c r="L27" s="210"/>
      <c r="M27" s="121"/>
      <c r="N27" s="208">
        <v>0</v>
      </c>
      <c r="O27" s="209"/>
      <c r="P27" s="210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4"/>
      <c r="O28" s="123"/>
      <c r="P28" s="123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f>76312+11440</f>
        <v>87752</v>
      </c>
      <c r="I29" s="121"/>
      <c r="J29" s="208">
        <v>0</v>
      </c>
      <c r="K29" s="209"/>
      <c r="L29" s="210"/>
      <c r="M29" s="121"/>
      <c r="N29" s="208">
        <v>0</v>
      </c>
      <c r="O29" s="209"/>
      <c r="P29" s="210"/>
      <c r="Q29" s="121"/>
      <c r="R29" s="3">
        <f>501554*0.3</f>
        <v>150466.19999999998</v>
      </c>
      <c r="S29" s="121"/>
      <c r="T29" s="3">
        <v>0</v>
      </c>
      <c r="U29" s="121"/>
      <c r="V29" s="3">
        <f>15.77*4868</f>
        <v>76768.36</v>
      </c>
      <c r="W29" s="121"/>
      <c r="X29" s="3">
        <v>0</v>
      </c>
      <c r="Y29" s="54"/>
      <c r="Z29" s="55">
        <f>SUM(F29:X29)</f>
        <v>314986.56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4"/>
      <c r="O30" s="123"/>
      <c r="P30" s="123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f>621934+1</f>
        <v>621935</v>
      </c>
      <c r="I31" s="121"/>
      <c r="J31" s="208">
        <v>0</v>
      </c>
      <c r="K31" s="209"/>
      <c r="L31" s="210"/>
      <c r="M31" s="121"/>
      <c r="N31" s="208">
        <v>0</v>
      </c>
      <c r="O31" s="209"/>
      <c r="P31" s="210"/>
      <c r="Q31" s="121"/>
      <c r="R31" s="3">
        <f>501554*0.25</f>
        <v>125388.5</v>
      </c>
      <c r="S31" s="121"/>
      <c r="T31" s="3">
        <v>0</v>
      </c>
      <c r="U31" s="121"/>
      <c r="V31" s="3">
        <f>46.81*4868</f>
        <v>227871.08000000002</v>
      </c>
      <c r="W31" s="121"/>
      <c r="X31" s="3">
        <v>0</v>
      </c>
      <c r="Y31" s="54"/>
      <c r="Z31" s="55">
        <f>SUM(F31:X31)</f>
        <v>975194.58000000007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4"/>
      <c r="O32" s="123"/>
      <c r="P32" s="123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f>76312+5720-1</f>
        <v>82031</v>
      </c>
      <c r="I33" s="121"/>
      <c r="J33" s="208">
        <v>0</v>
      </c>
      <c r="K33" s="209"/>
      <c r="L33" s="210"/>
      <c r="M33" s="121"/>
      <c r="N33" s="208">
        <v>0</v>
      </c>
      <c r="O33" s="209"/>
      <c r="P33" s="210"/>
      <c r="Q33" s="121"/>
      <c r="R33" s="3"/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82031</v>
      </c>
      <c r="AA33" s="56"/>
      <c r="AB33" s="57"/>
    </row>
    <row r="34" spans="1:35" ht="5.15" customHeight="1" thickBot="1" x14ac:dyDescent="0.8">
      <c r="A34" s="13"/>
      <c r="B34" s="49"/>
      <c r="C34" s="157"/>
      <c r="D34" s="157"/>
      <c r="E34" s="14"/>
      <c r="F34" s="64"/>
      <c r="G34" s="10"/>
      <c r="H34" s="64"/>
      <c r="I34" s="10"/>
      <c r="J34" s="158"/>
      <c r="K34" s="158"/>
      <c r="L34" s="158"/>
      <c r="M34" s="10"/>
      <c r="N34" s="158"/>
      <c r="O34" s="158"/>
      <c r="P34" s="158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9" t="s">
        <v>0</v>
      </c>
      <c r="D35" s="160"/>
      <c r="E35" s="57"/>
      <c r="F35" s="67">
        <f>SUM(F21:F33)</f>
        <v>0</v>
      </c>
      <c r="G35" s="21"/>
      <c r="H35" s="68">
        <f>SUM(H21:H33)</f>
        <v>1640633</v>
      </c>
      <c r="I35" s="57"/>
      <c r="J35" s="202">
        <f>SUM(J21:L33)</f>
        <v>0</v>
      </c>
      <c r="K35" s="203"/>
      <c r="L35" s="204"/>
      <c r="M35" s="57"/>
      <c r="N35" s="202">
        <f>SUM(N21:P33)</f>
        <v>0</v>
      </c>
      <c r="O35" s="203"/>
      <c r="P35" s="204"/>
      <c r="Q35" s="57"/>
      <c r="R35" s="67">
        <f>SUM(R21:R33)</f>
        <v>501554.12</v>
      </c>
      <c r="S35" s="57"/>
      <c r="T35" s="67">
        <f>SUM(T21:T33)</f>
        <v>0</v>
      </c>
      <c r="U35" s="57"/>
      <c r="V35" s="68">
        <f>SUM(V21:V33)</f>
        <v>12619723.619999999</v>
      </c>
      <c r="W35" s="57"/>
      <c r="X35" s="68">
        <f>SUM(X21:X33)</f>
        <v>0</v>
      </c>
      <c r="Y35" s="57"/>
      <c r="Z35" s="68">
        <f>SUM(Z21:Z33)</f>
        <v>14761910.74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9" t="s">
        <v>103</v>
      </c>
      <c r="G40" s="44"/>
      <c r="H40" s="189" t="s">
        <v>102</v>
      </c>
      <c r="I40" s="190"/>
      <c r="J40" s="191"/>
      <c r="K40" s="44"/>
      <c r="L40" s="189" t="s">
        <v>105</v>
      </c>
      <c r="M40" s="190"/>
      <c r="N40" s="191"/>
      <c r="O40" s="42"/>
      <c r="R40" s="192"/>
      <c r="S40" s="192"/>
      <c r="T40" s="192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7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92"/>
      <c r="S41" s="192"/>
      <c r="T41" s="192"/>
    </row>
    <row r="42" spans="1:35" ht="13.75" thickBot="1" x14ac:dyDescent="0.75">
      <c r="A42" s="11"/>
      <c r="B42" s="40"/>
      <c r="C42" s="80"/>
      <c r="D42" s="81"/>
      <c r="E42" s="44"/>
      <c r="F42" s="171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92"/>
      <c r="S42" s="192"/>
      <c r="T42" s="192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.149999999999999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.149999999999999" customHeight="1" x14ac:dyDescent="0.6">
      <c r="A46" s="84"/>
      <c r="B46" s="85"/>
      <c r="C46" s="117" t="s">
        <v>110</v>
      </c>
      <c r="D46" s="53"/>
      <c r="E46" s="83"/>
      <c r="F46" s="3">
        <v>1640633</v>
      </c>
      <c r="G46" s="121"/>
      <c r="J46" s="143"/>
      <c r="K46" s="86"/>
      <c r="L46" s="3">
        <v>114398</v>
      </c>
      <c r="M46" s="101"/>
      <c r="N46" s="141">
        <f>IFERROR(L46/F46,0)</f>
        <v>6.9727964755067096E-2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57"/>
      <c r="D47" s="157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.149999999999999" customHeight="1" x14ac:dyDescent="0.6">
      <c r="A48" s="84"/>
      <c r="B48" s="85"/>
      <c r="C48" s="159" t="s">
        <v>0</v>
      </c>
      <c r="D48" s="160"/>
      <c r="E48" s="83"/>
      <c r="F48" s="67">
        <f>SUM(F44:F46)</f>
        <v>1640633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114398</v>
      </c>
      <c r="M48" s="83"/>
      <c r="N48" s="141">
        <f>IFERROR(L48/F48,0)</f>
        <v>6.9727964755067096E-2</v>
      </c>
      <c r="O48" s="56"/>
      <c r="P48" s="83"/>
      <c r="R48" s="188"/>
      <c r="S48" s="188"/>
      <c r="T48" s="1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72"/>
      <c r="D53" s="172"/>
      <c r="F53" s="173" t="s">
        <v>81</v>
      </c>
      <c r="G53" s="174"/>
      <c r="H53" s="175"/>
      <c r="I53" s="44"/>
      <c r="J53" s="176" t="s">
        <v>82</v>
      </c>
      <c r="K53" s="177"/>
      <c r="L53" s="178"/>
      <c r="M53" s="44"/>
      <c r="N53" s="176" t="s">
        <v>2</v>
      </c>
      <c r="O53" s="177"/>
      <c r="P53" s="178"/>
      <c r="Q53" s="44"/>
      <c r="R53" s="169" t="s">
        <v>3</v>
      </c>
      <c r="S53" s="44"/>
      <c r="T53" s="169" t="s">
        <v>6</v>
      </c>
      <c r="U53" s="44"/>
      <c r="V53" s="169" t="s">
        <v>4</v>
      </c>
      <c r="W53" s="44"/>
      <c r="X53" s="169" t="s">
        <v>7</v>
      </c>
      <c r="Y53" s="44"/>
      <c r="Z53" s="169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72"/>
      <c r="D54" s="172"/>
      <c r="F54" s="43"/>
      <c r="J54" s="179"/>
      <c r="K54" s="180"/>
      <c r="L54" s="181"/>
      <c r="N54" s="179"/>
      <c r="O54" s="180"/>
      <c r="P54" s="181"/>
      <c r="R54" s="170"/>
      <c r="T54" s="170"/>
      <c r="V54" s="170"/>
      <c r="X54" s="170"/>
      <c r="Z54" s="170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72"/>
      <c r="D55" s="172"/>
      <c r="E55" s="44"/>
      <c r="F55" s="47" t="s">
        <v>1</v>
      </c>
      <c r="G55" s="44"/>
      <c r="H55" s="47" t="s">
        <v>89</v>
      </c>
      <c r="J55" s="182"/>
      <c r="K55" s="183"/>
      <c r="L55" s="184"/>
      <c r="N55" s="182"/>
      <c r="O55" s="183"/>
      <c r="P55" s="184"/>
      <c r="R55" s="171"/>
      <c r="T55" s="171"/>
      <c r="V55" s="171"/>
      <c r="X55" s="171"/>
      <c r="Z55" s="171"/>
      <c r="AA55" s="48"/>
      <c r="AB55" s="44"/>
    </row>
    <row r="56" spans="1:35" s="16" customFormat="1" ht="2.6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64" t="s">
        <v>95</v>
      </c>
      <c r="D58" s="165" t="s">
        <v>83</v>
      </c>
      <c r="E58" s="21"/>
      <c r="F58" s="3">
        <v>0</v>
      </c>
      <c r="G58" s="121"/>
      <c r="H58" s="3">
        <f>534448+28600</f>
        <v>563048</v>
      </c>
      <c r="I58" s="121"/>
      <c r="J58" s="208">
        <v>0</v>
      </c>
      <c r="K58" s="209"/>
      <c r="L58" s="210"/>
      <c r="M58" s="121"/>
      <c r="N58" s="208">
        <v>0</v>
      </c>
      <c r="O58" s="209"/>
      <c r="P58" s="210"/>
      <c r="Q58" s="121"/>
      <c r="R58" s="3">
        <f>+R35*0.335</f>
        <v>168020.63020000001</v>
      </c>
      <c r="S58" s="121"/>
      <c r="T58" s="3">
        <v>0</v>
      </c>
      <c r="U58" s="121"/>
      <c r="V58" s="3">
        <f>+V35*0.6</f>
        <v>7571834.1719999993</v>
      </c>
      <c r="W58" s="121"/>
      <c r="X58" s="3">
        <v>0</v>
      </c>
      <c r="Y58" s="54"/>
      <c r="Z58" s="55">
        <f>SUM(F58:X58)</f>
        <v>8302902.8021999989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4"/>
      <c r="O59" s="123"/>
      <c r="P59" s="123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64" t="s">
        <v>96</v>
      </c>
      <c r="D60" s="165" t="s">
        <v>84</v>
      </c>
      <c r="E60" s="21"/>
      <c r="F60" s="3">
        <v>0</v>
      </c>
      <c r="G60" s="121"/>
      <c r="H60" s="3">
        <f>267311+22880-1</f>
        <v>290190</v>
      </c>
      <c r="I60" s="121"/>
      <c r="J60" s="208">
        <v>0</v>
      </c>
      <c r="K60" s="209"/>
      <c r="L60" s="210"/>
      <c r="M60" s="121"/>
      <c r="N60" s="208">
        <v>0</v>
      </c>
      <c r="O60" s="209"/>
      <c r="P60" s="210"/>
      <c r="Q60" s="121"/>
      <c r="R60" s="3">
        <f>+R35*0.33</f>
        <v>165512.8596</v>
      </c>
      <c r="S60" s="121"/>
      <c r="T60" s="3">
        <v>0</v>
      </c>
      <c r="U60" s="121"/>
      <c r="V60" s="3">
        <f>+V35*0.13</f>
        <v>1640564.0706</v>
      </c>
      <c r="W60" s="121"/>
      <c r="X60" s="3">
        <v>0</v>
      </c>
      <c r="Y60" s="54"/>
      <c r="Z60" s="55">
        <f>SUM(F60:X60)</f>
        <v>2096266.9301999998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4"/>
      <c r="O61" s="123"/>
      <c r="P61" s="123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64" t="s">
        <v>97</v>
      </c>
      <c r="D62" s="165" t="s">
        <v>85</v>
      </c>
      <c r="E62" s="21"/>
      <c r="F62" s="3">
        <v>0</v>
      </c>
      <c r="G62" s="121"/>
      <c r="H62" s="3">
        <f>239762+11440</f>
        <v>251202</v>
      </c>
      <c r="I62" s="121"/>
      <c r="J62" s="208">
        <v>0</v>
      </c>
      <c r="K62" s="209"/>
      <c r="L62" s="210"/>
      <c r="M62" s="121"/>
      <c r="N62" s="208">
        <v>0</v>
      </c>
      <c r="O62" s="209"/>
      <c r="P62" s="210"/>
      <c r="Q62" s="121"/>
      <c r="R62" s="3">
        <f>+R35*0.335</f>
        <v>168020.63020000001</v>
      </c>
      <c r="S62" s="121"/>
      <c r="T62" s="3">
        <v>0</v>
      </c>
      <c r="U62" s="121"/>
      <c r="V62" s="3">
        <f>+V35*0.08</f>
        <v>1009577.8896</v>
      </c>
      <c r="W62" s="121"/>
      <c r="X62" s="3">
        <v>0</v>
      </c>
      <c r="Y62" s="54"/>
      <c r="Z62" s="55">
        <f>SUM(F62:X62)</f>
        <v>1428800.5197999999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4"/>
      <c r="O63" s="123"/>
      <c r="P63" s="123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64" t="s">
        <v>98</v>
      </c>
      <c r="D64" s="165" t="s">
        <v>86</v>
      </c>
      <c r="E64" s="21"/>
      <c r="F64" s="3">
        <v>0</v>
      </c>
      <c r="G64" s="121"/>
      <c r="H64" s="3">
        <f>311438+17160</f>
        <v>328598</v>
      </c>
      <c r="I64" s="121"/>
      <c r="J64" s="208">
        <v>0</v>
      </c>
      <c r="K64" s="209"/>
      <c r="L64" s="210"/>
      <c r="M64" s="121"/>
      <c r="N64" s="208">
        <v>0</v>
      </c>
      <c r="O64" s="209"/>
      <c r="P64" s="210"/>
      <c r="Q64" s="121"/>
      <c r="R64" s="3">
        <v>0</v>
      </c>
      <c r="S64" s="121"/>
      <c r="T64" s="3">
        <v>0</v>
      </c>
      <c r="U64" s="121"/>
      <c r="V64" s="3">
        <f>+V35*0.03</f>
        <v>378591.70859999995</v>
      </c>
      <c r="W64" s="121"/>
      <c r="X64" s="3">
        <v>0</v>
      </c>
      <c r="Y64" s="54"/>
      <c r="Z64" s="55">
        <f>SUM(F64:X64)</f>
        <v>707189.70860000001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4"/>
      <c r="O65" s="123"/>
      <c r="P65" s="123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64" t="s">
        <v>99</v>
      </c>
      <c r="D66" s="165" t="s">
        <v>87</v>
      </c>
      <c r="E66" s="21"/>
      <c r="F66" s="3">
        <v>0</v>
      </c>
      <c r="G66" s="121"/>
      <c r="H66" s="3">
        <f>173276+34319</f>
        <v>207595</v>
      </c>
      <c r="I66" s="121"/>
      <c r="J66" s="208">
        <v>0</v>
      </c>
      <c r="K66" s="209"/>
      <c r="L66" s="210"/>
      <c r="M66" s="121"/>
      <c r="N66" s="208">
        <v>0</v>
      </c>
      <c r="O66" s="209"/>
      <c r="P66" s="210"/>
      <c r="Q66" s="121"/>
      <c r="R66" s="3">
        <v>0</v>
      </c>
      <c r="S66" s="121"/>
      <c r="T66" s="3">
        <v>0</v>
      </c>
      <c r="U66" s="121"/>
      <c r="V66" s="3">
        <f>+V35*0.16</f>
        <v>2019155.7792</v>
      </c>
      <c r="W66" s="121"/>
      <c r="X66" s="3">
        <v>0</v>
      </c>
      <c r="Y66" s="54"/>
      <c r="Z66" s="55">
        <f>SUM(F66:X66)</f>
        <v>2226750.7791999998</v>
      </c>
      <c r="AA66" s="56"/>
      <c r="AB66" s="57"/>
    </row>
    <row r="67" spans="1:35" ht="5.15" customHeight="1" thickBot="1" x14ac:dyDescent="0.8">
      <c r="A67" s="13"/>
      <c r="B67" s="49"/>
      <c r="C67" s="157"/>
      <c r="D67" s="157"/>
      <c r="E67" s="14"/>
      <c r="F67" s="64"/>
      <c r="G67" s="10"/>
      <c r="H67" s="64"/>
      <c r="I67" s="10"/>
      <c r="J67" s="158"/>
      <c r="K67" s="158"/>
      <c r="L67" s="158"/>
      <c r="M67" s="10"/>
      <c r="N67" s="158"/>
      <c r="O67" s="158"/>
      <c r="P67" s="158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9" t="s">
        <v>0</v>
      </c>
      <c r="D68" s="160"/>
      <c r="E68" s="57"/>
      <c r="F68" s="67">
        <f>SUM(F58:F66)</f>
        <v>0</v>
      </c>
      <c r="G68" s="21"/>
      <c r="H68" s="68">
        <f>SUM(H58:H66)</f>
        <v>1640633</v>
      </c>
      <c r="I68" s="57"/>
      <c r="J68" s="202">
        <f>SUM(J58:L66)</f>
        <v>0</v>
      </c>
      <c r="K68" s="203"/>
      <c r="L68" s="204"/>
      <c r="M68" s="57"/>
      <c r="N68" s="202">
        <f>SUM(N58:P66)</f>
        <v>0</v>
      </c>
      <c r="O68" s="203"/>
      <c r="P68" s="204"/>
      <c r="Q68" s="57"/>
      <c r="R68" s="67">
        <f>SUM(R58:R66)</f>
        <v>501554.12</v>
      </c>
      <c r="S68" s="57"/>
      <c r="T68" s="67">
        <f>SUM(T58:T66)</f>
        <v>0</v>
      </c>
      <c r="U68" s="57"/>
      <c r="V68" s="68">
        <f>SUM(V58:V66)</f>
        <v>12619723.619999999</v>
      </c>
      <c r="W68" s="57"/>
      <c r="X68" s="68">
        <f>SUM(X58:X66)</f>
        <v>0</v>
      </c>
      <c r="Y68" s="57"/>
      <c r="Z68" s="68">
        <f>SUM(Z58:Z66)</f>
        <v>14761910.739999998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ESAE</vt:lpstr>
      <vt:lpstr>SCAE</vt:lpstr>
      <vt:lpstr>SVAE</vt:lpstr>
      <vt:lpstr>CAE</vt:lpstr>
      <vt:lpstr>MAE</vt:lpstr>
      <vt:lpstr>WVMCCD</vt:lpstr>
      <vt:lpstr>SJECCD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CAE!Print_Area</vt:lpstr>
      <vt:lpstr>ESAE!Print_Area</vt:lpstr>
      <vt:lpstr>MAE!Print_Area</vt:lpstr>
      <vt:lpstr>SCAE!Print_Area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Sheet8!Print_Area</vt:lpstr>
      <vt:lpstr>Sheet9!Print_Area</vt:lpstr>
      <vt:lpstr>SJECCD!Print_Area</vt:lpstr>
      <vt:lpstr>Summary!Print_Area</vt:lpstr>
      <vt:lpstr>SVAE!Print_Area</vt:lpstr>
      <vt:lpstr>WVMCCD!Print_Area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 Guthrie</dc:creator>
  <cp:lastModifiedBy>Greg Hill Jr.</cp:lastModifiedBy>
  <cp:lastPrinted>2015-10-30T21:31:13Z</cp:lastPrinted>
  <dcterms:created xsi:type="dcterms:W3CDTF">2014-05-13T19:18:33Z</dcterms:created>
  <dcterms:modified xsi:type="dcterms:W3CDTF">2015-12-02T19:12:39Z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