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50 Delta Sierra Alliance (San Joaquin Delta)\"/>
    </mc:Choice>
  </mc:AlternateContent>
  <bookViews>
    <workbookView xWindow="500" yWindow="1150" windowWidth="27020" windowHeight="16380" tabRatio="747" firstSheet="1" activeTab="1"/>
  </bookViews>
  <sheets>
    <sheet name="Data" sheetId="62" state="hidden" r:id="rId1"/>
    <sheet name="Summary" sheetId="41" r:id="rId2"/>
    <sheet name="ddConsortia" sheetId="42" state="hidden" r:id="rId3"/>
    <sheet name="Delta" sheetId="39" r:id="rId4"/>
    <sheet name="Lodi" sheetId="61" r:id="rId5"/>
    <sheet name="Manteca" sheetId="44" r:id="rId6"/>
    <sheet name="River Delta" sheetId="43" r:id="rId7"/>
    <sheet name="Stockton" sheetId="45" r:id="rId8"/>
    <sheet name="Tracy" sheetId="46" r:id="rId9"/>
    <sheet name="SJCOE" sheetId="47" r:id="rId10"/>
    <sheet name="CCOE" sheetId="48" r:id="rId11"/>
  </sheets>
  <externalReferences>
    <externalReference r:id="rId12"/>
  </externalReferences>
  <definedNames>
    <definedName name="ddConsortia" localSheetId="10">#REF!</definedName>
    <definedName name="ddConsortia" localSheetId="2">[1]Census!$A$2:$A$71</definedName>
    <definedName name="ddConsortia" localSheetId="4">#REF!</definedName>
    <definedName name="ddConsortia" localSheetId="5">#REF!</definedName>
    <definedName name="ddConsortia" localSheetId="6">#REF!</definedName>
    <definedName name="ddConsortia" localSheetId="9">#REF!</definedName>
    <definedName name="ddConsortia" localSheetId="7">#REF!</definedName>
    <definedName name="ddConsortia" localSheetId="8">#REF!</definedName>
    <definedName name="ddConsortia">#REF!</definedName>
    <definedName name="ddConsortium">ddConsortia!$A$2:$A$72</definedName>
    <definedName name="_xlnm.Print_Area" localSheetId="10">CCOE!$A$1:$AD$72</definedName>
    <definedName name="_xlnm.Print_Area" localSheetId="3">Delta!$A$1:$AD$72</definedName>
    <definedName name="_xlnm.Print_Area" localSheetId="4">Lodi!$A$1:$AD$72</definedName>
    <definedName name="_xlnm.Print_Area" localSheetId="5">Manteca!$A$1:$AD$72</definedName>
    <definedName name="_xlnm.Print_Area" localSheetId="6">'River Delta'!$A$1:$AD$72</definedName>
    <definedName name="_xlnm.Print_Area" localSheetId="9">SJCOE!$A$1:$AD$72</definedName>
    <definedName name="_xlnm.Print_Area" localSheetId="7">Stockton!$A$1:$AD$72</definedName>
    <definedName name="_xlnm.Print_Area" localSheetId="1">Summary!$A$1:$AD$71</definedName>
    <definedName name="_xlnm.Print_Area" localSheetId="8">Tracy!$A$1:$AD$72</definedName>
    <definedName name="tblDemographics" localSheetId="10">#REF!</definedName>
    <definedName name="tblDemographics" localSheetId="4">#REF!</definedName>
    <definedName name="tblDemographics" localSheetId="5">#REF!</definedName>
    <definedName name="tblDemographics" localSheetId="6">#REF!</definedName>
    <definedName name="tblDemographics" localSheetId="9">#REF!</definedName>
    <definedName name="tblDemographics" localSheetId="7">#REF!</definedName>
    <definedName name="tblDemographics" localSheetId="8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0" i="48" l="1"/>
  <c r="H21" i="48"/>
  <c r="H62" i="47"/>
  <c r="H60" i="47"/>
  <c r="H31" i="47"/>
  <c r="H25" i="47"/>
  <c r="H23" i="47"/>
  <c r="H21" i="47"/>
  <c r="H64" i="46"/>
  <c r="H62" i="46"/>
  <c r="H60" i="46"/>
  <c r="H58" i="46"/>
  <c r="H31" i="46"/>
  <c r="H23" i="46"/>
  <c r="H21" i="46"/>
  <c r="H62" i="45"/>
  <c r="H60" i="45"/>
  <c r="H58" i="45"/>
  <c r="H23" i="45"/>
  <c r="H31" i="45"/>
  <c r="H25" i="45"/>
  <c r="H21" i="45"/>
  <c r="H64" i="43"/>
  <c r="H60" i="43"/>
  <c r="H58" i="43"/>
  <c r="H27" i="43"/>
  <c r="H23" i="43"/>
  <c r="H21" i="43"/>
  <c r="H62" i="44"/>
  <c r="H60" i="44"/>
  <c r="H58" i="44"/>
  <c r="H31" i="44"/>
  <c r="H27" i="44"/>
  <c r="H25" i="44"/>
  <c r="H23" i="44"/>
  <c r="H21" i="44"/>
  <c r="H62" i="61"/>
  <c r="H60" i="61"/>
  <c r="H58" i="61"/>
  <c r="H31" i="61"/>
  <c r="H29" i="61"/>
  <c r="H23" i="61"/>
  <c r="H21" i="61"/>
  <c r="H31" i="39"/>
  <c r="H29" i="39"/>
  <c r="H21" i="39"/>
  <c r="H23" i="39"/>
  <c r="H58" i="39"/>
  <c r="H62" i="39"/>
  <c r="H64" i="39"/>
  <c r="F23" i="46"/>
  <c r="F21" i="46"/>
  <c r="F31" i="46"/>
  <c r="F35" i="46"/>
  <c r="F58" i="46"/>
  <c r="F62" i="45"/>
  <c r="F60" i="46"/>
  <c r="F62" i="46"/>
  <c r="F64" i="46"/>
  <c r="F60" i="45"/>
  <c r="F58" i="45"/>
  <c r="F31" i="45"/>
  <c r="F23" i="45"/>
  <c r="F21" i="45"/>
  <c r="F64" i="43"/>
  <c r="F60" i="43"/>
  <c r="F58" i="43"/>
  <c r="F21" i="43"/>
  <c r="F62" i="44"/>
  <c r="F60" i="44"/>
  <c r="F58" i="44"/>
  <c r="F31" i="44"/>
  <c r="F23" i="44"/>
  <c r="F21" i="44"/>
  <c r="F62" i="61"/>
  <c r="F60" i="61"/>
  <c r="F58" i="61"/>
  <c r="F31" i="61"/>
  <c r="F29" i="61"/>
  <c r="F23" i="61"/>
  <c r="F21" i="61"/>
  <c r="H66" i="39"/>
  <c r="V63" i="41"/>
  <c r="T63" i="41"/>
  <c r="R65" i="41"/>
  <c r="F59" i="41"/>
  <c r="X59" i="41"/>
  <c r="X57" i="41"/>
  <c r="V25" i="41"/>
  <c r="Z19" i="41"/>
  <c r="X19" i="41"/>
  <c r="J19" i="41"/>
  <c r="H21" i="41"/>
  <c r="Z65" i="41"/>
  <c r="Z63" i="41"/>
  <c r="Z61" i="41"/>
  <c r="Z59" i="41"/>
  <c r="Z57" i="41"/>
  <c r="X65" i="41"/>
  <c r="X63" i="41"/>
  <c r="X61" i="41"/>
  <c r="V65" i="41"/>
  <c r="V61" i="41"/>
  <c r="V59" i="41"/>
  <c r="V57" i="41"/>
  <c r="T65" i="41"/>
  <c r="T61" i="41"/>
  <c r="T59" i="41"/>
  <c r="T57" i="41"/>
  <c r="R63" i="41"/>
  <c r="R61" i="41"/>
  <c r="R59" i="41"/>
  <c r="R57" i="41"/>
  <c r="N65" i="41"/>
  <c r="N63" i="41"/>
  <c r="N61" i="41"/>
  <c r="N59" i="41"/>
  <c r="N57" i="41"/>
  <c r="J65" i="41"/>
  <c r="J63" i="41"/>
  <c r="J61" i="41"/>
  <c r="J59" i="41"/>
  <c r="J57" i="41"/>
  <c r="Z31" i="41"/>
  <c r="Z29" i="41"/>
  <c r="Z27" i="41"/>
  <c r="Z25" i="41"/>
  <c r="Z23" i="41"/>
  <c r="Z21" i="41"/>
  <c r="X31" i="41"/>
  <c r="X29" i="41"/>
  <c r="X27" i="41"/>
  <c r="X25" i="41"/>
  <c r="X23" i="41"/>
  <c r="X21" i="41"/>
  <c r="V31" i="41"/>
  <c r="V29" i="41"/>
  <c r="V27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H65" i="41"/>
  <c r="H63" i="41"/>
  <c r="H61" i="41"/>
  <c r="H59" i="41"/>
  <c r="H57" i="41"/>
  <c r="F65" i="41"/>
  <c r="F63" i="41"/>
  <c r="F61" i="41"/>
  <c r="F57" i="41"/>
  <c r="H45" i="41"/>
  <c r="L44" i="39"/>
  <c r="L43" i="41"/>
  <c r="H44" i="61"/>
  <c r="H44" i="43"/>
  <c r="H44" i="45"/>
  <c r="H44" i="46"/>
  <c r="H44" i="48"/>
  <c r="H43" i="41"/>
  <c r="F45" i="41"/>
  <c r="F43" i="41"/>
  <c r="H31" i="41"/>
  <c r="H29" i="41"/>
  <c r="H27" i="41"/>
  <c r="H25" i="41"/>
  <c r="H23" i="41"/>
  <c r="H19" i="41"/>
  <c r="F31" i="41"/>
  <c r="F29" i="41"/>
  <c r="F27" i="41"/>
  <c r="F25" i="41"/>
  <c r="F23" i="41"/>
  <c r="F21" i="41"/>
  <c r="F19" i="41"/>
  <c r="F35" i="43"/>
  <c r="R35" i="47"/>
  <c r="T35" i="47"/>
  <c r="Z35" i="47"/>
  <c r="Z68" i="47"/>
  <c r="R68" i="61"/>
  <c r="T68" i="61"/>
  <c r="R35" i="61"/>
  <c r="T35" i="61"/>
  <c r="R68" i="44"/>
  <c r="R35" i="44"/>
  <c r="AB58" i="45"/>
  <c r="AB64" i="45"/>
  <c r="AB66" i="45"/>
  <c r="AB60" i="45"/>
  <c r="AB62" i="45"/>
  <c r="AB68" i="45"/>
  <c r="J68" i="45"/>
  <c r="R35" i="45"/>
  <c r="T35" i="45"/>
  <c r="R68" i="45"/>
  <c r="R35" i="39"/>
  <c r="T35" i="39"/>
  <c r="N35" i="39"/>
  <c r="H47" i="41"/>
  <c r="F47" i="41"/>
  <c r="AB58" i="61"/>
  <c r="AB60" i="61"/>
  <c r="AB62" i="61"/>
  <c r="AB64" i="61"/>
  <c r="AB66" i="61"/>
  <c r="AB68" i="61"/>
  <c r="Z68" i="61"/>
  <c r="X68" i="61"/>
  <c r="V68" i="61"/>
  <c r="N68" i="61"/>
  <c r="J68" i="61"/>
  <c r="H68" i="61"/>
  <c r="F68" i="61"/>
  <c r="N48" i="61"/>
  <c r="L48" i="61"/>
  <c r="H48" i="61"/>
  <c r="F48" i="61"/>
  <c r="J48" i="61"/>
  <c r="J46" i="61"/>
  <c r="AB21" i="61"/>
  <c r="AB23" i="61"/>
  <c r="AB25" i="61"/>
  <c r="AB27" i="61"/>
  <c r="AB29" i="61"/>
  <c r="AB31" i="61"/>
  <c r="AB33" i="61"/>
  <c r="AB35" i="61"/>
  <c r="Z35" i="61"/>
  <c r="X35" i="61"/>
  <c r="V35" i="61"/>
  <c r="N35" i="61"/>
  <c r="J35" i="61"/>
  <c r="H35" i="61"/>
  <c r="F35" i="61"/>
  <c r="D11" i="61"/>
  <c r="AB58" i="48"/>
  <c r="AB60" i="48"/>
  <c r="AB62" i="48"/>
  <c r="AB64" i="48"/>
  <c r="AB66" i="48"/>
  <c r="AB68" i="48"/>
  <c r="Z68" i="48"/>
  <c r="X68" i="48"/>
  <c r="V68" i="48"/>
  <c r="T68" i="48"/>
  <c r="R68" i="48"/>
  <c r="N68" i="48"/>
  <c r="J68" i="48"/>
  <c r="H68" i="48"/>
  <c r="F68" i="48"/>
  <c r="N48" i="48"/>
  <c r="L48" i="48"/>
  <c r="H48" i="48"/>
  <c r="F48" i="48"/>
  <c r="J48" i="48"/>
  <c r="J46" i="48"/>
  <c r="AB21" i="48"/>
  <c r="AB23" i="48"/>
  <c r="AB25" i="48"/>
  <c r="AB27" i="48"/>
  <c r="AB29" i="48"/>
  <c r="AB31" i="48"/>
  <c r="AB33" i="48"/>
  <c r="AB35" i="48"/>
  <c r="Z35" i="48"/>
  <c r="X35" i="48"/>
  <c r="V35" i="48"/>
  <c r="T35" i="48"/>
  <c r="R35" i="48"/>
  <c r="N35" i="48"/>
  <c r="J35" i="48"/>
  <c r="H35" i="48"/>
  <c r="F35" i="48"/>
  <c r="D11" i="48"/>
  <c r="AB58" i="47"/>
  <c r="AB60" i="47"/>
  <c r="AB62" i="47"/>
  <c r="AB64" i="47"/>
  <c r="AB66" i="47"/>
  <c r="AB68" i="47"/>
  <c r="X68" i="47"/>
  <c r="V68" i="47"/>
  <c r="T68" i="47"/>
  <c r="R68" i="47"/>
  <c r="N68" i="47"/>
  <c r="J68" i="47"/>
  <c r="H68" i="47"/>
  <c r="F68" i="47"/>
  <c r="N48" i="47"/>
  <c r="L48" i="47"/>
  <c r="H48" i="47"/>
  <c r="F48" i="47"/>
  <c r="J48" i="47"/>
  <c r="J46" i="47"/>
  <c r="J44" i="47"/>
  <c r="AB21" i="47"/>
  <c r="AB23" i="47"/>
  <c r="AB25" i="47"/>
  <c r="AB27" i="47"/>
  <c r="AB29" i="47"/>
  <c r="AB31" i="47"/>
  <c r="AB33" i="47"/>
  <c r="AB35" i="47"/>
  <c r="X35" i="47"/>
  <c r="V35" i="47"/>
  <c r="N35" i="47"/>
  <c r="J35" i="47"/>
  <c r="H35" i="47"/>
  <c r="F35" i="47"/>
  <c r="D11" i="47"/>
  <c r="AB58" i="46"/>
  <c r="AB60" i="46"/>
  <c r="AB62" i="46"/>
  <c r="AB64" i="46"/>
  <c r="AB66" i="46"/>
  <c r="AB68" i="46"/>
  <c r="Z68" i="46"/>
  <c r="X68" i="46"/>
  <c r="V68" i="46"/>
  <c r="T68" i="46"/>
  <c r="R68" i="46"/>
  <c r="N68" i="46"/>
  <c r="J68" i="46"/>
  <c r="H68" i="46"/>
  <c r="F68" i="46"/>
  <c r="N48" i="46"/>
  <c r="L48" i="46"/>
  <c r="H48" i="46"/>
  <c r="F48" i="46"/>
  <c r="J48" i="46"/>
  <c r="J46" i="46"/>
  <c r="AB21" i="46"/>
  <c r="AB23" i="46"/>
  <c r="AB25" i="46"/>
  <c r="AB27" i="46"/>
  <c r="AB29" i="46"/>
  <c r="AB31" i="46"/>
  <c r="AB33" i="46"/>
  <c r="AB35" i="46"/>
  <c r="Z35" i="46"/>
  <c r="X35" i="46"/>
  <c r="V35" i="46"/>
  <c r="T35" i="46"/>
  <c r="R35" i="46"/>
  <c r="N35" i="46"/>
  <c r="J35" i="46"/>
  <c r="H35" i="46"/>
  <c r="D11" i="46"/>
  <c r="Z68" i="45"/>
  <c r="X68" i="45"/>
  <c r="V68" i="45"/>
  <c r="T68" i="45"/>
  <c r="N68" i="45"/>
  <c r="H68" i="45"/>
  <c r="F68" i="45"/>
  <c r="N48" i="45"/>
  <c r="L48" i="45"/>
  <c r="H48" i="45"/>
  <c r="F48" i="45"/>
  <c r="J48" i="45"/>
  <c r="J46" i="45"/>
  <c r="AB21" i="45"/>
  <c r="AB23" i="45"/>
  <c r="AB25" i="45"/>
  <c r="AB27" i="45"/>
  <c r="AB29" i="45"/>
  <c r="AB31" i="45"/>
  <c r="AB33" i="45"/>
  <c r="AB35" i="45"/>
  <c r="Z35" i="45"/>
  <c r="X35" i="45"/>
  <c r="V35" i="45"/>
  <c r="N35" i="45"/>
  <c r="H35" i="45"/>
  <c r="F35" i="45"/>
  <c r="D11" i="45"/>
  <c r="AB58" i="44"/>
  <c r="AB60" i="44"/>
  <c r="AB62" i="44"/>
  <c r="AB64" i="44"/>
  <c r="AB66" i="44"/>
  <c r="AB68" i="44"/>
  <c r="Z68" i="44"/>
  <c r="X68" i="44"/>
  <c r="V68" i="44"/>
  <c r="T68" i="44"/>
  <c r="N68" i="44"/>
  <c r="J68" i="44"/>
  <c r="H68" i="44"/>
  <c r="F68" i="44"/>
  <c r="N48" i="44"/>
  <c r="L48" i="44"/>
  <c r="H48" i="44"/>
  <c r="F48" i="44"/>
  <c r="J48" i="44"/>
  <c r="J46" i="44"/>
  <c r="AB21" i="44"/>
  <c r="AB23" i="44"/>
  <c r="AB25" i="44"/>
  <c r="AB27" i="44"/>
  <c r="AB29" i="44"/>
  <c r="AB31" i="44"/>
  <c r="AB33" i="44"/>
  <c r="AB35" i="44"/>
  <c r="Z35" i="44"/>
  <c r="X35" i="44"/>
  <c r="V35" i="44"/>
  <c r="T35" i="44"/>
  <c r="N35" i="44"/>
  <c r="J35" i="44"/>
  <c r="H35" i="44"/>
  <c r="F35" i="44"/>
  <c r="D11" i="44"/>
  <c r="AB58" i="43"/>
  <c r="AB60" i="43"/>
  <c r="AB62" i="43"/>
  <c r="AB64" i="43"/>
  <c r="AB66" i="43"/>
  <c r="AB68" i="43"/>
  <c r="Z68" i="43"/>
  <c r="X68" i="43"/>
  <c r="V68" i="43"/>
  <c r="T68" i="43"/>
  <c r="R68" i="43"/>
  <c r="N68" i="43"/>
  <c r="J68" i="43"/>
  <c r="H68" i="43"/>
  <c r="F68" i="43"/>
  <c r="N48" i="43"/>
  <c r="L48" i="43"/>
  <c r="H48" i="43"/>
  <c r="F48" i="43"/>
  <c r="J48" i="43"/>
  <c r="J46" i="43"/>
  <c r="AB21" i="43"/>
  <c r="AB23" i="43"/>
  <c r="AB25" i="43"/>
  <c r="AB27" i="43"/>
  <c r="AB29" i="43"/>
  <c r="AB31" i="43"/>
  <c r="AB33" i="43"/>
  <c r="AB35" i="43"/>
  <c r="Z35" i="43"/>
  <c r="X35" i="43"/>
  <c r="V35" i="43"/>
  <c r="T35" i="43"/>
  <c r="R35" i="43"/>
  <c r="N35" i="43"/>
  <c r="J35" i="43"/>
  <c r="H35" i="43"/>
  <c r="D11" i="43"/>
  <c r="D11" i="39"/>
  <c r="AB57" i="41"/>
  <c r="AB59" i="41"/>
  <c r="AB61" i="41"/>
  <c r="AB63" i="41"/>
  <c r="AB65" i="41"/>
  <c r="AB67" i="41"/>
  <c r="Z67" i="41"/>
  <c r="X67" i="41"/>
  <c r="V67" i="41"/>
  <c r="T67" i="41"/>
  <c r="R67" i="41"/>
  <c r="N67" i="41"/>
  <c r="J67" i="41"/>
  <c r="H67" i="41"/>
  <c r="F67" i="41"/>
  <c r="AB19" i="41"/>
  <c r="AB21" i="41"/>
  <c r="AB23" i="41"/>
  <c r="AB25" i="41"/>
  <c r="AB27" i="41"/>
  <c r="AB29" i="41"/>
  <c r="AB31" i="41"/>
  <c r="AB33" i="41"/>
  <c r="Z33" i="41"/>
  <c r="X33" i="41"/>
  <c r="V33" i="41"/>
  <c r="T33" i="41"/>
  <c r="R33" i="41"/>
  <c r="N33" i="41"/>
  <c r="J33" i="41"/>
  <c r="H33" i="41"/>
  <c r="F33" i="41"/>
  <c r="N43" i="41"/>
  <c r="N47" i="41"/>
  <c r="L47" i="41"/>
  <c r="J47" i="41"/>
  <c r="J45" i="41"/>
  <c r="J43" i="41"/>
  <c r="AB58" i="39"/>
  <c r="AB60" i="39"/>
  <c r="AB62" i="39"/>
  <c r="AB64" i="39"/>
  <c r="AB66" i="39"/>
  <c r="AB68" i="39"/>
  <c r="L48" i="39"/>
  <c r="F48" i="39"/>
  <c r="H48" i="39"/>
  <c r="J48" i="39"/>
  <c r="J46" i="39"/>
  <c r="J44" i="39"/>
  <c r="Z68" i="39"/>
  <c r="X68" i="39"/>
  <c r="V68" i="39"/>
  <c r="T68" i="39"/>
  <c r="R68" i="39"/>
  <c r="N68" i="39"/>
  <c r="J68" i="39"/>
  <c r="H68" i="39"/>
  <c r="F68" i="39"/>
  <c r="Z35" i="39"/>
  <c r="V35" i="39"/>
  <c r="X35" i="39"/>
  <c r="J35" i="39"/>
  <c r="H35" i="39"/>
  <c r="F35" i="39"/>
  <c r="N48" i="39"/>
  <c r="AB21" i="39"/>
  <c r="AB33" i="39"/>
  <c r="AB31" i="39"/>
  <c r="AB29" i="39"/>
  <c r="AB23" i="39"/>
  <c r="AB25" i="39"/>
  <c r="AB27" i="39"/>
  <c r="AB35" i="39"/>
</calcChain>
</file>

<file path=xl/sharedStrings.xml><?xml version="1.0" encoding="utf-8"?>
<sst xmlns="http://schemas.openxmlformats.org/spreadsheetml/2006/main" count="3941" uniqueCount="131">
  <si>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</si>
  <si>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</si>
  <si>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</si>
  <si>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</si>
  <si>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</si>
  <si>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</si>
  <si>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</si>
  <si>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</si>
  <si>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</si>
  <si>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</si>
  <si>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</si>
  <si>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</si>
  <si>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</si>
  <si>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</si>
  <si>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</si>
  <si>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</si>
  <si>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</si>
  <si>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</si>
  <si>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</si>
  <si>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</si>
  <si>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</si>
  <si>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</si>
  <si>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</si>
  <si>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</si>
  <si>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</si>
  <si>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</si>
  <si>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</si>
  <si>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</si>
  <si>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</si>
  <si>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</si>
  <si>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</si>
  <si>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</si>
  <si>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</si>
  <si>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</si>
  <si>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</si>
  <si>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</si>
  <si>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</si>
  <si>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</si>
  <si>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</si>
  <si>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</si>
  <si>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</si>
  <si>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</si>
  <si>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</si>
  <si>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</si>
  <si>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</si>
  <si>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</si>
  <si>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</si>
  <si>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</si>
  <si>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</si>
  <si>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</si>
  <si>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</si>
  <si>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</si>
  <si>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</si>
  <si>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</si>
  <si>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</si>
  <si>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</si>
  <si>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</si>
  <si>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</si>
  <si>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</si>
  <si>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</si>
  <si>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</si>
  <si>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</si>
  <si>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</si>
  <si>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</si>
  <si>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</si>
  <si>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</si>
  <si>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</si>
  <si>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</si>
  <si>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</si>
  <si>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</si>
  <si>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</si>
  <si>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</si>
  <si>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</si>
  <si>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</si>
  <si>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</si>
  <si>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</si>
  <si>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</si>
  <si>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</si>
  <si>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</si>
  <si>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</si>
  <si>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</si>
  <si>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</si>
  <si>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</si>
  <si>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</si>
  <si>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</si>
  <si>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</si>
  <si>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</si>
  <si>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</si>
  <si>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</si>
  <si>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</si>
  <si>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>CCPT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</si>
  <si>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</si>
  <si>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</si>
  <si>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</si>
  <si>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</si>
  <si>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</si>
  <si>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</si>
  <si>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</si>
  <si>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</si>
  <si>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</si>
  <si>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</si>
  <si>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</si>
  <si>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</si>
  <si>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</si>
  <si>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</si>
  <si>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</si>
  <si>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</si>
  <si>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</si>
  <si>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</si>
  <si>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</si>
  <si>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</si>
  <si>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</si>
  <si>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</si>
  <si>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</si>
  <si>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</si>
  <si>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</si>
  <si>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</si>
  <si>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</si>
  <si>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</si>
  <si>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 xml:space="preserve">Lodi Adult School </t>
  </si>
  <si>
    <t xml:space="preserve">San Joaquin County Office of Education </t>
  </si>
  <si>
    <t xml:space="preserve">River Delta Unified School District </t>
  </si>
  <si>
    <t xml:space="preserve">Stockton Unified School District </t>
  </si>
  <si>
    <t xml:space="preserve">Manteca Unified School District </t>
  </si>
  <si>
    <t>Delta College</t>
  </si>
  <si>
    <t xml:space="preserve">Calaveras County Office of Education </t>
  </si>
  <si>
    <t xml:space="preserve">Tracy Unified School District 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</si>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</sst>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115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6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9" fontId="38" fillId="0" borderId="9" xfId="20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0" fontId="26" fillId="4" borderId="0" xfId="2" applyFont="1" applyFill="1" applyBorder="1" applyAlignment="1" applyProtection="1">
      <alignment horizontal="center" vertical="center" wrapText="1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5" fillId="0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0" fontId="32" fillId="4" borderId="0" xfId="2" applyFont="1" applyFill="1" applyBorder="1" applyAlignment="1" applyProtection="1">
      <alignment horizontal="center" vertical="center" wrapText="1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166" fontId="40" fillId="4" borderId="0" xfId="6" applyNumberFormat="1" applyFont="1" applyFill="1" applyBorder="1" applyAlignment="1" applyProtection="1">
      <alignment horizontal="right" vertical="center"/>
      <protection hidden="1"/>
    </xf>
    <xf numFmtId="0" fontId="40" fillId="4" borderId="0" xfId="2" applyFont="1" applyFill="1" applyBorder="1" applyAlignment="1" applyProtection="1">
      <alignment horizontal="right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8" fontId="38" fillId="0" borderId="9" xfId="20" applyNumberFormat="1" applyFont="1" applyFill="1" applyBorder="1" applyAlignment="1" applyProtection="1">
      <alignment horizontal="center" vertical="center"/>
      <protection hidden="1"/>
    </xf>
    <xf numFmtId="10" fontId="38" fillId="0" borderId="9" xfId="2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115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27</xdr:col>
      <xdr:colOff>355291</xdr:colOff>
      <xdr:row>8</xdr:row>
      <xdr:rowOff>117073</xdr:rowOff>
    </xdr:to>
    <xdr:sp macro="" textlink="">
      <xdr:nvSpPr>
        <xdr:cNvPr id="5" name="TextBox 4"/>
        <xdr:cNvSpPr txBox="1"/>
      </xdr:nvSpPr>
      <xdr:spPr>
        <a:xfrm>
          <a:off x="965811" y="1285488"/>
          <a:ext cx="15403870" cy="62817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27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834"/>
  <sheetViews>
    <sheetView workbookViewId="0"/>
  </sheetViews>
  <sheetFormatPr defaultColWidth="10.90625" defaultRowHeight="13" x14ac:dyDescent="0.6"/>
  <sheetData>
    <row r="1" spans="1:5" x14ac:dyDescent="0.6">
      <c r="A1" t="s">
        <v>127</v>
      </c>
      <c r="B1" t="s">
        <v>128</v>
      </c>
      <c r="C1" t="s">
        <v>129</v>
      </c>
      <c r="D1" t="s">
        <v>130</v>
      </c>
      <c r="E1" t="s">
        <v>0</v>
      </c>
    </row>
    <row r="2" spans="1:5" x14ac:dyDescent="0.6">
      <c r="A2" t="s">
        <v>55</v>
      </c>
      <c r="B2" t="s">
        <v>125</v>
      </c>
      <c r="C2" t="s">
        <v>7</v>
      </c>
      <c r="D2" t="s">
        <v>100</v>
      </c>
    </row>
    <row r="3" spans="1:5" x14ac:dyDescent="0.6">
      <c r="A3" t="s">
        <v>55</v>
      </c>
      <c r="B3" t="s">
        <v>125</v>
      </c>
      <c r="C3" t="s">
        <v>7</v>
      </c>
      <c r="D3" t="s">
        <v>99</v>
      </c>
    </row>
    <row r="4" spans="1:5" x14ac:dyDescent="0.6">
      <c r="A4" t="s">
        <v>55</v>
      </c>
      <c r="B4" t="s">
        <v>125</v>
      </c>
      <c r="C4" t="s">
        <v>7</v>
      </c>
      <c r="D4" t="s">
        <v>98</v>
      </c>
    </row>
    <row r="5" spans="1:5" x14ac:dyDescent="0.6">
      <c r="A5" t="s">
        <v>55</v>
      </c>
      <c r="B5" t="s">
        <v>125</v>
      </c>
      <c r="C5" t="s">
        <v>7</v>
      </c>
      <c r="D5" t="s">
        <v>97</v>
      </c>
    </row>
    <row r="6" spans="1:5" x14ac:dyDescent="0.6">
      <c r="A6" t="s">
        <v>55</v>
      </c>
      <c r="B6" t="s">
        <v>125</v>
      </c>
      <c r="C6" t="s">
        <v>7</v>
      </c>
      <c r="D6" t="s">
        <v>96</v>
      </c>
    </row>
    <row r="7" spans="1:5" x14ac:dyDescent="0.6">
      <c r="A7" t="s">
        <v>55</v>
      </c>
      <c r="B7" t="s">
        <v>125</v>
      </c>
      <c r="C7" t="s">
        <v>4</v>
      </c>
      <c r="D7" t="s">
        <v>100</v>
      </c>
    </row>
    <row r="8" spans="1:5" x14ac:dyDescent="0.6">
      <c r="A8" t="s">
        <v>55</v>
      </c>
      <c r="B8" t="s">
        <v>125</v>
      </c>
      <c r="C8" t="s">
        <v>4</v>
      </c>
      <c r="D8" t="s">
        <v>99</v>
      </c>
    </row>
    <row r="9" spans="1:5" x14ac:dyDescent="0.6">
      <c r="A9" t="s">
        <v>55</v>
      </c>
      <c r="B9" t="s">
        <v>125</v>
      </c>
      <c r="C9" t="s">
        <v>4</v>
      </c>
      <c r="D9" t="s">
        <v>98</v>
      </c>
    </row>
    <row r="10" spans="1:5" x14ac:dyDescent="0.6">
      <c r="A10" t="s">
        <v>55</v>
      </c>
      <c r="B10" t="s">
        <v>125</v>
      </c>
      <c r="C10" t="s">
        <v>4</v>
      </c>
      <c r="D10" t="s">
        <v>97</v>
      </c>
    </row>
    <row r="11" spans="1:5" x14ac:dyDescent="0.6">
      <c r="A11" t="s">
        <v>55</v>
      </c>
      <c r="B11" t="s">
        <v>125</v>
      </c>
      <c r="C11" t="s">
        <v>4</v>
      </c>
      <c r="D11" t="s">
        <v>96</v>
      </c>
    </row>
    <row r="12" spans="1:5" x14ac:dyDescent="0.6">
      <c r="A12" t="s">
        <v>55</v>
      </c>
      <c r="B12" t="s">
        <v>125</v>
      </c>
      <c r="C12" t="s">
        <v>90</v>
      </c>
      <c r="D12" t="s">
        <v>100</v>
      </c>
    </row>
    <row r="13" spans="1:5" x14ac:dyDescent="0.6">
      <c r="A13" t="s">
        <v>55</v>
      </c>
      <c r="B13" t="s">
        <v>125</v>
      </c>
      <c r="C13" t="s">
        <v>90</v>
      </c>
      <c r="D13" t="s">
        <v>99</v>
      </c>
    </row>
    <row r="14" spans="1:5" x14ac:dyDescent="0.6">
      <c r="A14" t="s">
        <v>55</v>
      </c>
      <c r="B14" t="s">
        <v>125</v>
      </c>
      <c r="C14" t="s">
        <v>90</v>
      </c>
      <c r="D14" t="s">
        <v>98</v>
      </c>
    </row>
    <row r="15" spans="1:5" x14ac:dyDescent="0.6">
      <c r="A15" t="s">
        <v>55</v>
      </c>
      <c r="B15" t="s">
        <v>125</v>
      </c>
      <c r="C15" t="s">
        <v>90</v>
      </c>
      <c r="D15" t="s">
        <v>97</v>
      </c>
    </row>
    <row r="16" spans="1:5" x14ac:dyDescent="0.6">
      <c r="A16" t="s">
        <v>55</v>
      </c>
      <c r="B16" t="s">
        <v>125</v>
      </c>
      <c r="C16" t="s">
        <v>90</v>
      </c>
      <c r="D16" t="s">
        <v>96</v>
      </c>
    </row>
    <row r="17" spans="1:4" x14ac:dyDescent="0.6">
      <c r="A17" t="s">
        <v>55</v>
      </c>
      <c r="B17" t="s">
        <v>125</v>
      </c>
      <c r="C17" t="s">
        <v>6</v>
      </c>
      <c r="D17" t="s">
        <v>100</v>
      </c>
    </row>
    <row r="18" spans="1:4" x14ac:dyDescent="0.6">
      <c r="A18" t="s">
        <v>55</v>
      </c>
      <c r="B18" t="s">
        <v>125</v>
      </c>
      <c r="C18" t="s">
        <v>6</v>
      </c>
      <c r="D18" t="s">
        <v>99</v>
      </c>
    </row>
    <row r="19" spans="1:4" x14ac:dyDescent="0.6">
      <c r="A19" t="s">
        <v>55</v>
      </c>
      <c r="B19" t="s">
        <v>125</v>
      </c>
      <c r="C19" t="s">
        <v>6</v>
      </c>
      <c r="D19" t="s">
        <v>98</v>
      </c>
    </row>
    <row r="20" spans="1:4" x14ac:dyDescent="0.6">
      <c r="A20" t="s">
        <v>55</v>
      </c>
      <c r="B20" t="s">
        <v>125</v>
      </c>
      <c r="C20" t="s">
        <v>6</v>
      </c>
      <c r="D20" t="s">
        <v>97</v>
      </c>
    </row>
    <row r="21" spans="1:4" x14ac:dyDescent="0.6">
      <c r="A21" t="s">
        <v>55</v>
      </c>
      <c r="B21" t="s">
        <v>125</v>
      </c>
      <c r="C21" t="s">
        <v>6</v>
      </c>
      <c r="D21" t="s">
        <v>96</v>
      </c>
    </row>
    <row r="22" spans="1:4" x14ac:dyDescent="0.6">
      <c r="A22" t="s">
        <v>55</v>
      </c>
      <c r="B22" t="s">
        <v>125</v>
      </c>
      <c r="C22" t="s">
        <v>3</v>
      </c>
      <c r="D22" t="s">
        <v>100</v>
      </c>
    </row>
    <row r="23" spans="1:4" x14ac:dyDescent="0.6">
      <c r="A23" t="s">
        <v>55</v>
      </c>
      <c r="B23" t="s">
        <v>125</v>
      </c>
      <c r="C23" t="s">
        <v>3</v>
      </c>
      <c r="D23" t="s">
        <v>99</v>
      </c>
    </row>
    <row r="24" spans="1:4" x14ac:dyDescent="0.6">
      <c r="A24" t="s">
        <v>55</v>
      </c>
      <c r="B24" t="s">
        <v>125</v>
      </c>
      <c r="C24" t="s">
        <v>3</v>
      </c>
      <c r="D24" t="s">
        <v>98</v>
      </c>
    </row>
    <row r="25" spans="1:4" x14ac:dyDescent="0.6">
      <c r="A25" t="s">
        <v>55</v>
      </c>
      <c r="B25" t="s">
        <v>125</v>
      </c>
      <c r="C25" t="s">
        <v>3</v>
      </c>
      <c r="D25" t="s">
        <v>97</v>
      </c>
    </row>
    <row r="26" spans="1:4" x14ac:dyDescent="0.6">
      <c r="A26" t="s">
        <v>55</v>
      </c>
      <c r="B26" t="s">
        <v>125</v>
      </c>
      <c r="C26" t="s">
        <v>3</v>
      </c>
      <c r="D26" t="s">
        <v>96</v>
      </c>
    </row>
    <row r="27" spans="1:4" x14ac:dyDescent="0.6">
      <c r="A27" t="s">
        <v>55</v>
      </c>
      <c r="B27" t="s">
        <v>125</v>
      </c>
      <c r="C27" t="s">
        <v>2</v>
      </c>
      <c r="D27" t="s">
        <v>100</v>
      </c>
    </row>
    <row r="28" spans="1:4" x14ac:dyDescent="0.6">
      <c r="A28" t="s">
        <v>55</v>
      </c>
      <c r="B28" t="s">
        <v>125</v>
      </c>
      <c r="C28" t="s">
        <v>2</v>
      </c>
      <c r="D28" t="s">
        <v>99</v>
      </c>
    </row>
    <row r="29" spans="1:4" x14ac:dyDescent="0.6">
      <c r="A29" t="s">
        <v>55</v>
      </c>
      <c r="B29" t="s">
        <v>125</v>
      </c>
      <c r="C29" t="s">
        <v>2</v>
      </c>
      <c r="D29" t="s">
        <v>98</v>
      </c>
    </row>
    <row r="30" spans="1:4" x14ac:dyDescent="0.6">
      <c r="A30" t="s">
        <v>55</v>
      </c>
      <c r="B30" t="s">
        <v>125</v>
      </c>
      <c r="C30" t="s">
        <v>2</v>
      </c>
      <c r="D30" t="s">
        <v>97</v>
      </c>
    </row>
    <row r="31" spans="1:4" x14ac:dyDescent="0.6">
      <c r="A31" t="s">
        <v>55</v>
      </c>
      <c r="B31" t="s">
        <v>125</v>
      </c>
      <c r="C31" t="s">
        <v>2</v>
      </c>
      <c r="D31" t="s">
        <v>96</v>
      </c>
    </row>
    <row r="32" spans="1:4" x14ac:dyDescent="0.6">
      <c r="A32" t="s">
        <v>55</v>
      </c>
      <c r="B32" t="s">
        <v>125</v>
      </c>
      <c r="C32" t="s">
        <v>82</v>
      </c>
      <c r="D32" t="s">
        <v>100</v>
      </c>
    </row>
    <row r="33" spans="1:5" x14ac:dyDescent="0.6">
      <c r="A33" t="s">
        <v>55</v>
      </c>
      <c r="B33" t="s">
        <v>125</v>
      </c>
      <c r="C33" t="s">
        <v>82</v>
      </c>
      <c r="D33" t="s">
        <v>99</v>
      </c>
    </row>
    <row r="34" spans="1:5" x14ac:dyDescent="0.6">
      <c r="A34" t="s">
        <v>55</v>
      </c>
      <c r="B34" t="s">
        <v>125</v>
      </c>
      <c r="C34" t="s">
        <v>82</v>
      </c>
      <c r="D34" t="s">
        <v>98</v>
      </c>
    </row>
    <row r="35" spans="1:5" x14ac:dyDescent="0.6">
      <c r="A35" t="s">
        <v>55</v>
      </c>
      <c r="B35" t="s">
        <v>125</v>
      </c>
      <c r="C35" t="s">
        <v>82</v>
      </c>
      <c r="D35" t="s">
        <v>97</v>
      </c>
    </row>
    <row r="36" spans="1:5" x14ac:dyDescent="0.6">
      <c r="A36" t="s">
        <v>55</v>
      </c>
      <c r="B36" t="s">
        <v>125</v>
      </c>
      <c r="C36" t="s">
        <v>82</v>
      </c>
      <c r="D36" t="s">
        <v>96</v>
      </c>
    </row>
    <row r="37" spans="1:5" x14ac:dyDescent="0.6">
      <c r="A37" t="s">
        <v>55</v>
      </c>
      <c r="B37" t="s">
        <v>125</v>
      </c>
      <c r="C37" t="s">
        <v>89</v>
      </c>
      <c r="D37" t="s">
        <v>100</v>
      </c>
      <c r="E37">
        <v>0</v>
      </c>
    </row>
    <row r="38" spans="1:5" x14ac:dyDescent="0.6">
      <c r="A38" t="s">
        <v>55</v>
      </c>
      <c r="B38" t="s">
        <v>125</v>
      </c>
      <c r="C38" t="s">
        <v>89</v>
      </c>
      <c r="D38" t="s">
        <v>99</v>
      </c>
      <c r="E38">
        <v>0</v>
      </c>
    </row>
    <row r="39" spans="1:5" x14ac:dyDescent="0.6">
      <c r="A39" t="s">
        <v>55</v>
      </c>
      <c r="B39" t="s">
        <v>125</v>
      </c>
      <c r="C39" t="s">
        <v>89</v>
      </c>
      <c r="D39" t="s">
        <v>98</v>
      </c>
      <c r="E39">
        <v>0</v>
      </c>
    </row>
    <row r="40" spans="1:5" x14ac:dyDescent="0.6">
      <c r="A40" t="s">
        <v>55</v>
      </c>
      <c r="B40" t="s">
        <v>125</v>
      </c>
      <c r="C40" t="s">
        <v>89</v>
      </c>
      <c r="D40" t="s">
        <v>97</v>
      </c>
      <c r="E40">
        <v>46787.5</v>
      </c>
    </row>
    <row r="41" spans="1:5" x14ac:dyDescent="0.6">
      <c r="A41" t="s">
        <v>55</v>
      </c>
      <c r="B41" t="s">
        <v>125</v>
      </c>
      <c r="C41" t="s">
        <v>89</v>
      </c>
      <c r="D41" t="s">
        <v>96</v>
      </c>
      <c r="E41">
        <v>0</v>
      </c>
    </row>
    <row r="42" spans="1:5" x14ac:dyDescent="0.6">
      <c r="A42" t="s">
        <v>55</v>
      </c>
      <c r="B42" t="s">
        <v>125</v>
      </c>
      <c r="C42" t="s">
        <v>1</v>
      </c>
      <c r="D42" t="s">
        <v>100</v>
      </c>
      <c r="E42">
        <v>0</v>
      </c>
    </row>
    <row r="43" spans="1:5" x14ac:dyDescent="0.6">
      <c r="A43" t="s">
        <v>55</v>
      </c>
      <c r="B43" t="s">
        <v>125</v>
      </c>
      <c r="C43" t="s">
        <v>1</v>
      </c>
      <c r="D43" t="s">
        <v>99</v>
      </c>
      <c r="E43">
        <v>0</v>
      </c>
    </row>
    <row r="44" spans="1:5" x14ac:dyDescent="0.6">
      <c r="A44" t="s">
        <v>55</v>
      </c>
      <c r="B44" t="s">
        <v>125</v>
      </c>
      <c r="C44" t="s">
        <v>1</v>
      </c>
      <c r="D44" t="s">
        <v>98</v>
      </c>
      <c r="E44">
        <v>0</v>
      </c>
    </row>
    <row r="45" spans="1:5" x14ac:dyDescent="0.6">
      <c r="A45" t="s">
        <v>55</v>
      </c>
      <c r="B45" t="s">
        <v>125</v>
      </c>
      <c r="C45" t="s">
        <v>1</v>
      </c>
      <c r="D45" t="s">
        <v>97</v>
      </c>
      <c r="E45">
        <v>56257</v>
      </c>
    </row>
    <row r="46" spans="1:5" x14ac:dyDescent="0.6">
      <c r="A46" t="s">
        <v>55</v>
      </c>
      <c r="B46" t="s">
        <v>125</v>
      </c>
      <c r="C46" t="s">
        <v>1</v>
      </c>
      <c r="D46" t="s">
        <v>96</v>
      </c>
      <c r="E46">
        <v>0</v>
      </c>
    </row>
    <row r="47" spans="1:5" x14ac:dyDescent="0.6">
      <c r="A47" t="s">
        <v>55</v>
      </c>
      <c r="B47" t="s">
        <v>120</v>
      </c>
      <c r="C47" t="s">
        <v>7</v>
      </c>
      <c r="D47" t="s">
        <v>100</v>
      </c>
    </row>
    <row r="48" spans="1:5" x14ac:dyDescent="0.6">
      <c r="A48" t="s">
        <v>55</v>
      </c>
      <c r="B48" t="s">
        <v>120</v>
      </c>
      <c r="C48" t="s">
        <v>7</v>
      </c>
      <c r="D48" t="s">
        <v>99</v>
      </c>
    </row>
    <row r="49" spans="1:5" x14ac:dyDescent="0.6">
      <c r="A49" t="s">
        <v>55</v>
      </c>
      <c r="B49" t="s">
        <v>120</v>
      </c>
      <c r="C49" t="s">
        <v>7</v>
      </c>
      <c r="D49" t="s">
        <v>98</v>
      </c>
    </row>
    <row r="50" spans="1:5" x14ac:dyDescent="0.6">
      <c r="A50" t="s">
        <v>55</v>
      </c>
      <c r="B50" t="s">
        <v>120</v>
      </c>
      <c r="C50" t="s">
        <v>7</v>
      </c>
      <c r="D50" t="s">
        <v>97</v>
      </c>
      <c r="E50">
        <v>242031</v>
      </c>
    </row>
    <row r="51" spans="1:5" x14ac:dyDescent="0.6">
      <c r="A51" t="s">
        <v>55</v>
      </c>
      <c r="B51" t="s">
        <v>120</v>
      </c>
      <c r="C51" t="s">
        <v>7</v>
      </c>
      <c r="D51" t="s">
        <v>96</v>
      </c>
    </row>
    <row r="52" spans="1:5" x14ac:dyDescent="0.6">
      <c r="A52" t="s">
        <v>55</v>
      </c>
      <c r="B52" t="s">
        <v>120</v>
      </c>
      <c r="C52" t="s">
        <v>4</v>
      </c>
      <c r="D52" t="s">
        <v>100</v>
      </c>
    </row>
    <row r="53" spans="1:5" x14ac:dyDescent="0.6">
      <c r="A53" t="s">
        <v>55</v>
      </c>
      <c r="B53" t="s">
        <v>120</v>
      </c>
      <c r="C53" t="s">
        <v>4</v>
      </c>
      <c r="D53" t="s">
        <v>99</v>
      </c>
    </row>
    <row r="54" spans="1:5" x14ac:dyDescent="0.6">
      <c r="A54" t="s">
        <v>55</v>
      </c>
      <c r="B54" t="s">
        <v>120</v>
      </c>
      <c r="C54" t="s">
        <v>4</v>
      </c>
      <c r="D54" t="s">
        <v>98</v>
      </c>
    </row>
    <row r="55" spans="1:5" x14ac:dyDescent="0.6">
      <c r="A55" t="s">
        <v>55</v>
      </c>
      <c r="B55" t="s">
        <v>120</v>
      </c>
      <c r="C55" t="s">
        <v>4</v>
      </c>
      <c r="D55" t="s">
        <v>97</v>
      </c>
    </row>
    <row r="56" spans="1:5" x14ac:dyDescent="0.6">
      <c r="A56" t="s">
        <v>55</v>
      </c>
      <c r="B56" t="s">
        <v>120</v>
      </c>
      <c r="C56" t="s">
        <v>4</v>
      </c>
      <c r="D56" t="s">
        <v>96</v>
      </c>
    </row>
    <row r="57" spans="1:5" x14ac:dyDescent="0.6">
      <c r="A57" t="s">
        <v>55</v>
      </c>
      <c r="B57" t="s">
        <v>120</v>
      </c>
      <c r="C57" t="s">
        <v>90</v>
      </c>
      <c r="D57" t="s">
        <v>100</v>
      </c>
    </row>
    <row r="58" spans="1:5" x14ac:dyDescent="0.6">
      <c r="A58" t="s">
        <v>55</v>
      </c>
      <c r="B58" t="s">
        <v>120</v>
      </c>
      <c r="C58" t="s">
        <v>90</v>
      </c>
      <c r="D58" t="s">
        <v>99</v>
      </c>
    </row>
    <row r="59" spans="1:5" x14ac:dyDescent="0.6">
      <c r="A59" t="s">
        <v>55</v>
      </c>
      <c r="B59" t="s">
        <v>120</v>
      </c>
      <c r="C59" t="s">
        <v>90</v>
      </c>
      <c r="D59" t="s">
        <v>98</v>
      </c>
    </row>
    <row r="60" spans="1:5" x14ac:dyDescent="0.6">
      <c r="A60" t="s">
        <v>55</v>
      </c>
      <c r="B60" t="s">
        <v>120</v>
      </c>
      <c r="C60" t="s">
        <v>90</v>
      </c>
      <c r="D60" t="s">
        <v>97</v>
      </c>
    </row>
    <row r="61" spans="1:5" x14ac:dyDescent="0.6">
      <c r="A61" t="s">
        <v>55</v>
      </c>
      <c r="B61" t="s">
        <v>120</v>
      </c>
      <c r="C61" t="s">
        <v>90</v>
      </c>
      <c r="D61" t="s">
        <v>96</v>
      </c>
    </row>
    <row r="62" spans="1:5" x14ac:dyDescent="0.6">
      <c r="A62" t="s">
        <v>55</v>
      </c>
      <c r="B62" t="s">
        <v>120</v>
      </c>
      <c r="C62" t="s">
        <v>6</v>
      </c>
      <c r="D62" t="s">
        <v>100</v>
      </c>
    </row>
    <row r="63" spans="1:5" x14ac:dyDescent="0.6">
      <c r="A63" t="s">
        <v>55</v>
      </c>
      <c r="B63" t="s">
        <v>120</v>
      </c>
      <c r="C63" t="s">
        <v>6</v>
      </c>
      <c r="D63" t="s">
        <v>99</v>
      </c>
    </row>
    <row r="64" spans="1:5" x14ac:dyDescent="0.6">
      <c r="A64" t="s">
        <v>55</v>
      </c>
      <c r="B64" t="s">
        <v>120</v>
      </c>
      <c r="C64" t="s">
        <v>6</v>
      </c>
      <c r="D64" t="s">
        <v>98</v>
      </c>
    </row>
    <row r="65" spans="1:5" x14ac:dyDescent="0.6">
      <c r="A65" t="s">
        <v>55</v>
      </c>
      <c r="B65" t="s">
        <v>120</v>
      </c>
      <c r="C65" t="s">
        <v>6</v>
      </c>
      <c r="D65" t="s">
        <v>97</v>
      </c>
    </row>
    <row r="66" spans="1:5" x14ac:dyDescent="0.6">
      <c r="A66" t="s">
        <v>55</v>
      </c>
      <c r="B66" t="s">
        <v>120</v>
      </c>
      <c r="C66" t="s">
        <v>6</v>
      </c>
      <c r="D66" t="s">
        <v>96</v>
      </c>
    </row>
    <row r="67" spans="1:5" x14ac:dyDescent="0.6">
      <c r="A67" t="s">
        <v>55</v>
      </c>
      <c r="B67" t="s">
        <v>120</v>
      </c>
      <c r="C67" t="s">
        <v>3</v>
      </c>
      <c r="D67" t="s">
        <v>100</v>
      </c>
    </row>
    <row r="68" spans="1:5" x14ac:dyDescent="0.6">
      <c r="A68" t="s">
        <v>55</v>
      </c>
      <c r="B68" t="s">
        <v>120</v>
      </c>
      <c r="C68" t="s">
        <v>3</v>
      </c>
      <c r="D68" t="s">
        <v>99</v>
      </c>
      <c r="E68">
        <v>67850</v>
      </c>
    </row>
    <row r="69" spans="1:5" x14ac:dyDescent="0.6">
      <c r="A69" t="s">
        <v>55</v>
      </c>
      <c r="B69" t="s">
        <v>120</v>
      </c>
      <c r="C69" t="s">
        <v>3</v>
      </c>
      <c r="D69" t="s">
        <v>98</v>
      </c>
      <c r="E69">
        <v>33925</v>
      </c>
    </row>
    <row r="70" spans="1:5" x14ac:dyDescent="0.6">
      <c r="A70" t="s">
        <v>55</v>
      </c>
      <c r="B70" t="s">
        <v>120</v>
      </c>
      <c r="C70" t="s">
        <v>3</v>
      </c>
      <c r="D70" t="s">
        <v>97</v>
      </c>
    </row>
    <row r="71" spans="1:5" x14ac:dyDescent="0.6">
      <c r="A71" t="s">
        <v>55</v>
      </c>
      <c r="B71" t="s">
        <v>120</v>
      </c>
      <c r="C71" t="s">
        <v>3</v>
      </c>
      <c r="D71" t="s">
        <v>96</v>
      </c>
      <c r="E71">
        <v>33925</v>
      </c>
    </row>
    <row r="72" spans="1:5" x14ac:dyDescent="0.6">
      <c r="A72" t="s">
        <v>55</v>
      </c>
      <c r="B72" t="s">
        <v>120</v>
      </c>
      <c r="C72" t="s">
        <v>2</v>
      </c>
      <c r="D72" t="s">
        <v>100</v>
      </c>
    </row>
    <row r="73" spans="1:5" x14ac:dyDescent="0.6">
      <c r="A73" t="s">
        <v>55</v>
      </c>
      <c r="B73" t="s">
        <v>120</v>
      </c>
      <c r="C73" t="s">
        <v>2</v>
      </c>
      <c r="D73" t="s">
        <v>99</v>
      </c>
      <c r="E73">
        <v>13571</v>
      </c>
    </row>
    <row r="74" spans="1:5" x14ac:dyDescent="0.6">
      <c r="A74" t="s">
        <v>55</v>
      </c>
      <c r="B74" t="s">
        <v>120</v>
      </c>
      <c r="C74" t="s">
        <v>2</v>
      </c>
      <c r="D74" t="s">
        <v>98</v>
      </c>
      <c r="E74">
        <v>6785</v>
      </c>
    </row>
    <row r="75" spans="1:5" x14ac:dyDescent="0.6">
      <c r="A75" t="s">
        <v>55</v>
      </c>
      <c r="B75" t="s">
        <v>120</v>
      </c>
      <c r="C75" t="s">
        <v>2</v>
      </c>
      <c r="D75" t="s">
        <v>97</v>
      </c>
    </row>
    <row r="76" spans="1:5" x14ac:dyDescent="0.6">
      <c r="A76" t="s">
        <v>55</v>
      </c>
      <c r="B76" t="s">
        <v>120</v>
      </c>
      <c r="C76" t="s">
        <v>2</v>
      </c>
      <c r="D76" t="s">
        <v>96</v>
      </c>
      <c r="E76">
        <v>6785</v>
      </c>
    </row>
    <row r="77" spans="1:5" x14ac:dyDescent="0.6">
      <c r="A77" t="s">
        <v>55</v>
      </c>
      <c r="B77" t="s">
        <v>120</v>
      </c>
      <c r="C77" t="s">
        <v>82</v>
      </c>
      <c r="D77" t="s">
        <v>100</v>
      </c>
    </row>
    <row r="78" spans="1:5" x14ac:dyDescent="0.6">
      <c r="A78" t="s">
        <v>55</v>
      </c>
      <c r="B78" t="s">
        <v>120</v>
      </c>
      <c r="C78" t="s">
        <v>82</v>
      </c>
      <c r="D78" t="s">
        <v>99</v>
      </c>
    </row>
    <row r="79" spans="1:5" x14ac:dyDescent="0.6">
      <c r="A79" t="s">
        <v>55</v>
      </c>
      <c r="B79" t="s">
        <v>120</v>
      </c>
      <c r="C79" t="s">
        <v>82</v>
      </c>
      <c r="D79" t="s">
        <v>98</v>
      </c>
    </row>
    <row r="80" spans="1:5" x14ac:dyDescent="0.6">
      <c r="A80" t="s">
        <v>55</v>
      </c>
      <c r="B80" t="s">
        <v>120</v>
      </c>
      <c r="C80" t="s">
        <v>82</v>
      </c>
      <c r="D80" t="s">
        <v>97</v>
      </c>
    </row>
    <row r="81" spans="1:5" x14ac:dyDescent="0.6">
      <c r="A81" t="s">
        <v>55</v>
      </c>
      <c r="B81" t="s">
        <v>120</v>
      </c>
      <c r="C81" t="s">
        <v>82</v>
      </c>
      <c r="D81" t="s">
        <v>96</v>
      </c>
    </row>
    <row r="82" spans="1:5" x14ac:dyDescent="0.6">
      <c r="A82" t="s">
        <v>55</v>
      </c>
      <c r="B82" t="s">
        <v>120</v>
      </c>
      <c r="C82" t="s">
        <v>89</v>
      </c>
      <c r="D82" t="s">
        <v>100</v>
      </c>
      <c r="E82">
        <v>0</v>
      </c>
    </row>
    <row r="83" spans="1:5" x14ac:dyDescent="0.6">
      <c r="A83" t="s">
        <v>55</v>
      </c>
      <c r="B83" t="s">
        <v>120</v>
      </c>
      <c r="C83" t="s">
        <v>89</v>
      </c>
      <c r="D83" t="s">
        <v>99</v>
      </c>
      <c r="E83">
        <v>0</v>
      </c>
    </row>
    <row r="84" spans="1:5" x14ac:dyDescent="0.6">
      <c r="A84" t="s">
        <v>55</v>
      </c>
      <c r="B84" t="s">
        <v>120</v>
      </c>
      <c r="C84" t="s">
        <v>89</v>
      </c>
      <c r="D84" t="s">
        <v>98</v>
      </c>
      <c r="E84">
        <v>17659.55</v>
      </c>
    </row>
    <row r="85" spans="1:5" x14ac:dyDescent="0.6">
      <c r="A85" t="s">
        <v>55</v>
      </c>
      <c r="B85" t="s">
        <v>120</v>
      </c>
      <c r="C85" t="s">
        <v>89</v>
      </c>
      <c r="D85" t="s">
        <v>97</v>
      </c>
      <c r="E85">
        <v>29127.95</v>
      </c>
    </row>
    <row r="86" spans="1:5" x14ac:dyDescent="0.6">
      <c r="A86" t="s">
        <v>55</v>
      </c>
      <c r="B86" t="s">
        <v>120</v>
      </c>
      <c r="C86" t="s">
        <v>89</v>
      </c>
      <c r="D86" t="s">
        <v>96</v>
      </c>
      <c r="E86">
        <v>0</v>
      </c>
    </row>
    <row r="87" spans="1:5" x14ac:dyDescent="0.6">
      <c r="A87" t="s">
        <v>55</v>
      </c>
      <c r="B87" t="s">
        <v>120</v>
      </c>
      <c r="C87" t="s">
        <v>1</v>
      </c>
      <c r="D87" t="s">
        <v>100</v>
      </c>
      <c r="E87">
        <v>0</v>
      </c>
    </row>
    <row r="88" spans="1:5" x14ac:dyDescent="0.6">
      <c r="A88" t="s">
        <v>55</v>
      </c>
      <c r="B88" t="s">
        <v>120</v>
      </c>
      <c r="C88" t="s">
        <v>1</v>
      </c>
      <c r="D88" t="s">
        <v>99</v>
      </c>
      <c r="E88">
        <v>0</v>
      </c>
    </row>
    <row r="89" spans="1:5" x14ac:dyDescent="0.6">
      <c r="A89" t="s">
        <v>55</v>
      </c>
      <c r="B89" t="s">
        <v>120</v>
      </c>
      <c r="C89" t="s">
        <v>1</v>
      </c>
      <c r="D89" t="s">
        <v>98</v>
      </c>
      <c r="E89">
        <v>0</v>
      </c>
    </row>
    <row r="90" spans="1:5" x14ac:dyDescent="0.6">
      <c r="A90" t="s">
        <v>55</v>
      </c>
      <c r="B90" t="s">
        <v>120</v>
      </c>
      <c r="C90" t="s">
        <v>1</v>
      </c>
      <c r="D90" t="s">
        <v>97</v>
      </c>
      <c r="E90">
        <v>0</v>
      </c>
    </row>
    <row r="91" spans="1:5" x14ac:dyDescent="0.6">
      <c r="A91" t="s">
        <v>55</v>
      </c>
      <c r="B91" t="s">
        <v>120</v>
      </c>
      <c r="C91" t="s">
        <v>1</v>
      </c>
      <c r="D91" t="s">
        <v>96</v>
      </c>
      <c r="E91">
        <v>0</v>
      </c>
    </row>
    <row r="92" spans="1:5" x14ac:dyDescent="0.6">
      <c r="A92" t="s">
        <v>55</v>
      </c>
      <c r="B92" t="s">
        <v>126</v>
      </c>
      <c r="C92" t="s">
        <v>7</v>
      </c>
      <c r="D92" t="s">
        <v>100</v>
      </c>
    </row>
    <row r="93" spans="1:5" x14ac:dyDescent="0.6">
      <c r="A93" t="s">
        <v>55</v>
      </c>
      <c r="B93" t="s">
        <v>126</v>
      </c>
      <c r="C93" t="s">
        <v>7</v>
      </c>
      <c r="D93" t="s">
        <v>99</v>
      </c>
    </row>
    <row r="94" spans="1:5" x14ac:dyDescent="0.6">
      <c r="A94" t="s">
        <v>55</v>
      </c>
      <c r="B94" t="s">
        <v>126</v>
      </c>
      <c r="C94" t="s">
        <v>7</v>
      </c>
      <c r="D94" t="s">
        <v>98</v>
      </c>
    </row>
    <row r="95" spans="1:5" x14ac:dyDescent="0.6">
      <c r="A95" t="s">
        <v>55</v>
      </c>
      <c r="B95" t="s">
        <v>126</v>
      </c>
      <c r="C95" t="s">
        <v>7</v>
      </c>
      <c r="D95" t="s">
        <v>97</v>
      </c>
    </row>
    <row r="96" spans="1:5" x14ac:dyDescent="0.6">
      <c r="A96" t="s">
        <v>55</v>
      </c>
      <c r="B96" t="s">
        <v>126</v>
      </c>
      <c r="C96" t="s">
        <v>7</v>
      </c>
      <c r="D96" t="s">
        <v>96</v>
      </c>
    </row>
    <row r="97" spans="1:4" x14ac:dyDescent="0.6">
      <c r="A97" t="s">
        <v>55</v>
      </c>
      <c r="B97" t="s">
        <v>126</v>
      </c>
      <c r="C97" t="s">
        <v>4</v>
      </c>
      <c r="D97" t="s">
        <v>100</v>
      </c>
    </row>
    <row r="98" spans="1:4" x14ac:dyDescent="0.6">
      <c r="A98" t="s">
        <v>55</v>
      </c>
      <c r="B98" t="s">
        <v>126</v>
      </c>
      <c r="C98" t="s">
        <v>4</v>
      </c>
      <c r="D98" t="s">
        <v>99</v>
      </c>
    </row>
    <row r="99" spans="1:4" x14ac:dyDescent="0.6">
      <c r="A99" t="s">
        <v>55</v>
      </c>
      <c r="B99" t="s">
        <v>126</v>
      </c>
      <c r="C99" t="s">
        <v>4</v>
      </c>
      <c r="D99" t="s">
        <v>98</v>
      </c>
    </row>
    <row r="100" spans="1:4" x14ac:dyDescent="0.6">
      <c r="A100" t="s">
        <v>55</v>
      </c>
      <c r="B100" t="s">
        <v>126</v>
      </c>
      <c r="C100" t="s">
        <v>4</v>
      </c>
      <c r="D100" t="s">
        <v>97</v>
      </c>
    </row>
    <row r="101" spans="1:4" x14ac:dyDescent="0.6">
      <c r="A101" t="s">
        <v>55</v>
      </c>
      <c r="B101" t="s">
        <v>126</v>
      </c>
      <c r="C101" t="s">
        <v>4</v>
      </c>
      <c r="D101" t="s">
        <v>96</v>
      </c>
    </row>
    <row r="102" spans="1:4" x14ac:dyDescent="0.6">
      <c r="A102" t="s">
        <v>55</v>
      </c>
      <c r="B102" t="s">
        <v>126</v>
      </c>
      <c r="C102" t="s">
        <v>90</v>
      </c>
      <c r="D102" t="s">
        <v>100</v>
      </c>
    </row>
    <row r="103" spans="1:4" x14ac:dyDescent="0.6">
      <c r="A103" t="s">
        <v>55</v>
      </c>
      <c r="B103" t="s">
        <v>126</v>
      </c>
      <c r="C103" t="s">
        <v>90</v>
      </c>
      <c r="D103" t="s">
        <v>99</v>
      </c>
    </row>
    <row r="104" spans="1:4" x14ac:dyDescent="0.6">
      <c r="A104" t="s">
        <v>55</v>
      </c>
      <c r="B104" t="s">
        <v>126</v>
      </c>
      <c r="C104" t="s">
        <v>90</v>
      </c>
      <c r="D104" t="s">
        <v>98</v>
      </c>
    </row>
    <row r="105" spans="1:4" x14ac:dyDescent="0.6">
      <c r="A105" t="s">
        <v>55</v>
      </c>
      <c r="B105" t="s">
        <v>126</v>
      </c>
      <c r="C105" t="s">
        <v>90</v>
      </c>
      <c r="D105" t="s">
        <v>97</v>
      </c>
    </row>
    <row r="106" spans="1:4" x14ac:dyDescent="0.6">
      <c r="A106" t="s">
        <v>55</v>
      </c>
      <c r="B106" t="s">
        <v>126</v>
      </c>
      <c r="C106" t="s">
        <v>90</v>
      </c>
      <c r="D106" t="s">
        <v>96</v>
      </c>
    </row>
    <row r="107" spans="1:4" x14ac:dyDescent="0.6">
      <c r="A107" t="s">
        <v>55</v>
      </c>
      <c r="B107" t="s">
        <v>126</v>
      </c>
      <c r="C107" t="s">
        <v>6</v>
      </c>
      <c r="D107" t="s">
        <v>100</v>
      </c>
    </row>
    <row r="108" spans="1:4" x14ac:dyDescent="0.6">
      <c r="A108" t="s">
        <v>55</v>
      </c>
      <c r="B108" t="s">
        <v>126</v>
      </c>
      <c r="C108" t="s">
        <v>6</v>
      </c>
      <c r="D108" t="s">
        <v>99</v>
      </c>
    </row>
    <row r="109" spans="1:4" x14ac:dyDescent="0.6">
      <c r="A109" t="s">
        <v>55</v>
      </c>
      <c r="B109" t="s">
        <v>126</v>
      </c>
      <c r="C109" t="s">
        <v>6</v>
      </c>
      <c r="D109" t="s">
        <v>98</v>
      </c>
    </row>
    <row r="110" spans="1:4" x14ac:dyDescent="0.6">
      <c r="A110" t="s">
        <v>55</v>
      </c>
      <c r="B110" t="s">
        <v>126</v>
      </c>
      <c r="C110" t="s">
        <v>6</v>
      </c>
      <c r="D110" t="s">
        <v>97</v>
      </c>
    </row>
    <row r="111" spans="1:4" x14ac:dyDescent="0.6">
      <c r="A111" t="s">
        <v>55</v>
      </c>
      <c r="B111" t="s">
        <v>126</v>
      </c>
      <c r="C111" t="s">
        <v>6</v>
      </c>
      <c r="D111" t="s">
        <v>96</v>
      </c>
    </row>
    <row r="112" spans="1:4" x14ac:dyDescent="0.6">
      <c r="A112" t="s">
        <v>55</v>
      </c>
      <c r="B112" t="s">
        <v>126</v>
      </c>
      <c r="C112" t="s">
        <v>3</v>
      </c>
      <c r="D112" t="s">
        <v>100</v>
      </c>
    </row>
    <row r="113" spans="1:5" x14ac:dyDescent="0.6">
      <c r="A113" t="s">
        <v>55</v>
      </c>
      <c r="B113" t="s">
        <v>126</v>
      </c>
      <c r="C113" t="s">
        <v>3</v>
      </c>
      <c r="D113" t="s">
        <v>99</v>
      </c>
    </row>
    <row r="114" spans="1:5" x14ac:dyDescent="0.6">
      <c r="A114" t="s">
        <v>55</v>
      </c>
      <c r="B114" t="s">
        <v>126</v>
      </c>
      <c r="C114" t="s">
        <v>3</v>
      </c>
      <c r="D114" t="s">
        <v>98</v>
      </c>
    </row>
    <row r="115" spans="1:5" x14ac:dyDescent="0.6">
      <c r="A115" t="s">
        <v>55</v>
      </c>
      <c r="B115" t="s">
        <v>126</v>
      </c>
      <c r="C115" t="s">
        <v>3</v>
      </c>
      <c r="D115" t="s">
        <v>97</v>
      </c>
    </row>
    <row r="116" spans="1:5" x14ac:dyDescent="0.6">
      <c r="A116" t="s">
        <v>55</v>
      </c>
      <c r="B116" t="s">
        <v>126</v>
      </c>
      <c r="C116" t="s">
        <v>3</v>
      </c>
      <c r="D116" t="s">
        <v>96</v>
      </c>
    </row>
    <row r="117" spans="1:5" x14ac:dyDescent="0.6">
      <c r="A117" t="s">
        <v>55</v>
      </c>
      <c r="B117" t="s">
        <v>126</v>
      </c>
      <c r="C117" t="s">
        <v>2</v>
      </c>
      <c r="D117" t="s">
        <v>100</v>
      </c>
    </row>
    <row r="118" spans="1:5" x14ac:dyDescent="0.6">
      <c r="A118" t="s">
        <v>55</v>
      </c>
      <c r="B118" t="s">
        <v>126</v>
      </c>
      <c r="C118" t="s">
        <v>2</v>
      </c>
      <c r="D118" t="s">
        <v>99</v>
      </c>
    </row>
    <row r="119" spans="1:5" x14ac:dyDescent="0.6">
      <c r="A119" t="s">
        <v>55</v>
      </c>
      <c r="B119" t="s">
        <v>126</v>
      </c>
      <c r="C119" t="s">
        <v>2</v>
      </c>
      <c r="D119" t="s">
        <v>98</v>
      </c>
    </row>
    <row r="120" spans="1:5" x14ac:dyDescent="0.6">
      <c r="A120" t="s">
        <v>55</v>
      </c>
      <c r="B120" t="s">
        <v>126</v>
      </c>
      <c r="C120" t="s">
        <v>2</v>
      </c>
      <c r="D120" t="s">
        <v>97</v>
      </c>
    </row>
    <row r="121" spans="1:5" x14ac:dyDescent="0.6">
      <c r="A121" t="s">
        <v>55</v>
      </c>
      <c r="B121" t="s">
        <v>126</v>
      </c>
      <c r="C121" t="s">
        <v>2</v>
      </c>
      <c r="D121" t="s">
        <v>96</v>
      </c>
    </row>
    <row r="122" spans="1:5" x14ac:dyDescent="0.6">
      <c r="A122" t="s">
        <v>55</v>
      </c>
      <c r="B122" t="s">
        <v>126</v>
      </c>
      <c r="C122" t="s">
        <v>82</v>
      </c>
      <c r="D122" t="s">
        <v>100</v>
      </c>
    </row>
    <row r="123" spans="1:5" x14ac:dyDescent="0.6">
      <c r="A123" t="s">
        <v>55</v>
      </c>
      <c r="B123" t="s">
        <v>126</v>
      </c>
      <c r="C123" t="s">
        <v>82</v>
      </c>
      <c r="D123" t="s">
        <v>99</v>
      </c>
      <c r="E123">
        <v>64655.6</v>
      </c>
    </row>
    <row r="124" spans="1:5" x14ac:dyDescent="0.6">
      <c r="A124" t="s">
        <v>55</v>
      </c>
      <c r="B124" t="s">
        <v>126</v>
      </c>
      <c r="C124" t="s">
        <v>82</v>
      </c>
      <c r="D124" t="s">
        <v>98</v>
      </c>
      <c r="E124">
        <v>56573.65</v>
      </c>
    </row>
    <row r="125" spans="1:5" x14ac:dyDescent="0.6">
      <c r="A125" t="s">
        <v>55</v>
      </c>
      <c r="B125" t="s">
        <v>126</v>
      </c>
      <c r="C125" t="s">
        <v>82</v>
      </c>
      <c r="D125" t="s">
        <v>97</v>
      </c>
    </row>
    <row r="126" spans="1:5" x14ac:dyDescent="0.6">
      <c r="A126" t="s">
        <v>55</v>
      </c>
      <c r="B126" t="s">
        <v>126</v>
      </c>
      <c r="C126" t="s">
        <v>82</v>
      </c>
      <c r="D126" t="s">
        <v>96</v>
      </c>
      <c r="E126">
        <v>40409.75</v>
      </c>
    </row>
    <row r="127" spans="1:5" x14ac:dyDescent="0.6">
      <c r="A127" t="s">
        <v>55</v>
      </c>
      <c r="B127" t="s">
        <v>126</v>
      </c>
      <c r="C127" t="s">
        <v>89</v>
      </c>
      <c r="D127" t="s">
        <v>100</v>
      </c>
      <c r="E127">
        <v>0</v>
      </c>
    </row>
    <row r="128" spans="1:5" x14ac:dyDescent="0.6">
      <c r="A128" t="s">
        <v>55</v>
      </c>
      <c r="B128" t="s">
        <v>126</v>
      </c>
      <c r="C128" t="s">
        <v>89</v>
      </c>
      <c r="D128" t="s">
        <v>99</v>
      </c>
      <c r="E128">
        <v>10293.25</v>
      </c>
    </row>
    <row r="129" spans="1:5" x14ac:dyDescent="0.6">
      <c r="A129" t="s">
        <v>55</v>
      </c>
      <c r="B129" t="s">
        <v>126</v>
      </c>
      <c r="C129" t="s">
        <v>89</v>
      </c>
      <c r="D129" t="s">
        <v>98</v>
      </c>
      <c r="E129">
        <v>10293.25</v>
      </c>
    </row>
    <row r="130" spans="1:5" x14ac:dyDescent="0.6">
      <c r="A130" t="s">
        <v>55</v>
      </c>
      <c r="B130" t="s">
        <v>126</v>
      </c>
      <c r="C130" t="s">
        <v>89</v>
      </c>
      <c r="D130" t="s">
        <v>97</v>
      </c>
      <c r="E130">
        <v>164692</v>
      </c>
    </row>
    <row r="131" spans="1:5" x14ac:dyDescent="0.6">
      <c r="A131" t="s">
        <v>55</v>
      </c>
      <c r="B131" t="s">
        <v>126</v>
      </c>
      <c r="C131" t="s">
        <v>89</v>
      </c>
      <c r="D131" t="s">
        <v>96</v>
      </c>
      <c r="E131">
        <v>20586.5</v>
      </c>
    </row>
    <row r="132" spans="1:5" x14ac:dyDescent="0.6">
      <c r="A132" t="s">
        <v>55</v>
      </c>
      <c r="B132" t="s">
        <v>126</v>
      </c>
      <c r="C132" t="s">
        <v>1</v>
      </c>
      <c r="D132" t="s">
        <v>100</v>
      </c>
      <c r="E132">
        <v>0</v>
      </c>
    </row>
    <row r="133" spans="1:5" x14ac:dyDescent="0.6">
      <c r="A133" t="s">
        <v>55</v>
      </c>
      <c r="B133" t="s">
        <v>126</v>
      </c>
      <c r="C133" t="s">
        <v>1</v>
      </c>
      <c r="D133" t="s">
        <v>99</v>
      </c>
      <c r="E133">
        <v>16029.2778</v>
      </c>
    </row>
    <row r="134" spans="1:5" x14ac:dyDescent="0.6">
      <c r="A134" t="s">
        <v>55</v>
      </c>
      <c r="B134" t="s">
        <v>126</v>
      </c>
      <c r="C134" t="s">
        <v>1</v>
      </c>
      <c r="D134" t="s">
        <v>98</v>
      </c>
      <c r="E134">
        <v>16029.2778</v>
      </c>
    </row>
    <row r="135" spans="1:5" x14ac:dyDescent="0.6">
      <c r="A135" t="s">
        <v>55</v>
      </c>
      <c r="B135" t="s">
        <v>126</v>
      </c>
      <c r="C135" t="s">
        <v>1</v>
      </c>
      <c r="D135" t="s">
        <v>97</v>
      </c>
      <c r="E135">
        <v>256468.44529999999</v>
      </c>
    </row>
    <row r="136" spans="1:5" x14ac:dyDescent="0.6">
      <c r="A136" t="s">
        <v>55</v>
      </c>
      <c r="B136" t="s">
        <v>126</v>
      </c>
      <c r="C136" t="s">
        <v>1</v>
      </c>
      <c r="D136" t="s">
        <v>96</v>
      </c>
      <c r="E136">
        <v>32058.555700000001</v>
      </c>
    </row>
    <row r="137" spans="1:5" x14ac:dyDescent="0.6">
      <c r="A137" t="s">
        <v>55</v>
      </c>
      <c r="B137" t="s">
        <v>122</v>
      </c>
      <c r="C137" t="s">
        <v>7</v>
      </c>
      <c r="D137" t="s">
        <v>100</v>
      </c>
    </row>
    <row r="138" spans="1:5" x14ac:dyDescent="0.6">
      <c r="A138" t="s">
        <v>55</v>
      </c>
      <c r="B138" t="s">
        <v>122</v>
      </c>
      <c r="C138" t="s">
        <v>7</v>
      </c>
      <c r="D138" t="s">
        <v>99</v>
      </c>
    </row>
    <row r="139" spans="1:5" x14ac:dyDescent="0.6">
      <c r="A139" t="s">
        <v>55</v>
      </c>
      <c r="B139" t="s">
        <v>122</v>
      </c>
      <c r="C139" t="s">
        <v>7</v>
      </c>
      <c r="D139" t="s">
        <v>98</v>
      </c>
    </row>
    <row r="140" spans="1:5" x14ac:dyDescent="0.6">
      <c r="A140" t="s">
        <v>55</v>
      </c>
      <c r="B140" t="s">
        <v>122</v>
      </c>
      <c r="C140" t="s">
        <v>7</v>
      </c>
      <c r="D140" t="s">
        <v>97</v>
      </c>
    </row>
    <row r="141" spans="1:5" x14ac:dyDescent="0.6">
      <c r="A141" t="s">
        <v>55</v>
      </c>
      <c r="B141" t="s">
        <v>122</v>
      </c>
      <c r="C141" t="s">
        <v>7</v>
      </c>
      <c r="D141" t="s">
        <v>96</v>
      </c>
    </row>
    <row r="142" spans="1:5" x14ac:dyDescent="0.6">
      <c r="A142" t="s">
        <v>55</v>
      </c>
      <c r="B142" t="s">
        <v>122</v>
      </c>
      <c r="C142" t="s">
        <v>4</v>
      </c>
      <c r="D142" t="s">
        <v>100</v>
      </c>
    </row>
    <row r="143" spans="1:5" x14ac:dyDescent="0.6">
      <c r="A143" t="s">
        <v>55</v>
      </c>
      <c r="B143" t="s">
        <v>122</v>
      </c>
      <c r="C143" t="s">
        <v>4</v>
      </c>
      <c r="D143" t="s">
        <v>99</v>
      </c>
    </row>
    <row r="144" spans="1:5" x14ac:dyDescent="0.6">
      <c r="A144" t="s">
        <v>55</v>
      </c>
      <c r="B144" t="s">
        <v>122</v>
      </c>
      <c r="C144" t="s">
        <v>4</v>
      </c>
      <c r="D144" t="s">
        <v>98</v>
      </c>
    </row>
    <row r="145" spans="1:5" x14ac:dyDescent="0.6">
      <c r="A145" t="s">
        <v>55</v>
      </c>
      <c r="B145" t="s">
        <v>122</v>
      </c>
      <c r="C145" t="s">
        <v>4</v>
      </c>
      <c r="D145" t="s">
        <v>97</v>
      </c>
    </row>
    <row r="146" spans="1:5" x14ac:dyDescent="0.6">
      <c r="A146" t="s">
        <v>55</v>
      </c>
      <c r="B146" t="s">
        <v>122</v>
      </c>
      <c r="C146" t="s">
        <v>4</v>
      </c>
      <c r="D146" t="s">
        <v>96</v>
      </c>
    </row>
    <row r="147" spans="1:5" x14ac:dyDescent="0.6">
      <c r="A147" t="s">
        <v>55</v>
      </c>
      <c r="B147" t="s">
        <v>122</v>
      </c>
      <c r="C147" t="s">
        <v>90</v>
      </c>
      <c r="D147" t="s">
        <v>100</v>
      </c>
    </row>
    <row r="148" spans="1:5" x14ac:dyDescent="0.6">
      <c r="A148" t="s">
        <v>55</v>
      </c>
      <c r="B148" t="s">
        <v>122</v>
      </c>
      <c r="C148" t="s">
        <v>90</v>
      </c>
      <c r="D148" t="s">
        <v>99</v>
      </c>
    </row>
    <row r="149" spans="1:5" x14ac:dyDescent="0.6">
      <c r="A149" t="s">
        <v>55</v>
      </c>
      <c r="B149" t="s">
        <v>122</v>
      </c>
      <c r="C149" t="s">
        <v>90</v>
      </c>
      <c r="D149" t="s">
        <v>98</v>
      </c>
    </row>
    <row r="150" spans="1:5" x14ac:dyDescent="0.6">
      <c r="A150" t="s">
        <v>55</v>
      </c>
      <c r="B150" t="s">
        <v>122</v>
      </c>
      <c r="C150" t="s">
        <v>90</v>
      </c>
      <c r="D150" t="s">
        <v>97</v>
      </c>
    </row>
    <row r="151" spans="1:5" x14ac:dyDescent="0.6">
      <c r="A151" t="s">
        <v>55</v>
      </c>
      <c r="B151" t="s">
        <v>122</v>
      </c>
      <c r="C151" t="s">
        <v>90</v>
      </c>
      <c r="D151" t="s">
        <v>96</v>
      </c>
    </row>
    <row r="152" spans="1:5" x14ac:dyDescent="0.6">
      <c r="A152" t="s">
        <v>55</v>
      </c>
      <c r="B152" t="s">
        <v>122</v>
      </c>
      <c r="C152" t="s">
        <v>6</v>
      </c>
      <c r="D152" t="s">
        <v>100</v>
      </c>
    </row>
    <row r="153" spans="1:5" x14ac:dyDescent="0.6">
      <c r="A153" t="s">
        <v>55</v>
      </c>
      <c r="B153" t="s">
        <v>122</v>
      </c>
      <c r="C153" t="s">
        <v>6</v>
      </c>
      <c r="D153" t="s">
        <v>99</v>
      </c>
    </row>
    <row r="154" spans="1:5" x14ac:dyDescent="0.6">
      <c r="A154" t="s">
        <v>55</v>
      </c>
      <c r="B154" t="s">
        <v>122</v>
      </c>
      <c r="C154" t="s">
        <v>6</v>
      </c>
      <c r="D154" t="s">
        <v>98</v>
      </c>
    </row>
    <row r="155" spans="1:5" x14ac:dyDescent="0.6">
      <c r="A155" t="s">
        <v>55</v>
      </c>
      <c r="B155" t="s">
        <v>122</v>
      </c>
      <c r="C155" t="s">
        <v>6</v>
      </c>
      <c r="D155" t="s">
        <v>97</v>
      </c>
    </row>
    <row r="156" spans="1:5" x14ac:dyDescent="0.6">
      <c r="A156" t="s">
        <v>55</v>
      </c>
      <c r="B156" t="s">
        <v>122</v>
      </c>
      <c r="C156" t="s">
        <v>6</v>
      </c>
      <c r="D156" t="s">
        <v>96</v>
      </c>
    </row>
    <row r="157" spans="1:5" x14ac:dyDescent="0.6">
      <c r="A157" t="s">
        <v>55</v>
      </c>
      <c r="B157" t="s">
        <v>122</v>
      </c>
      <c r="C157" t="s">
        <v>3</v>
      </c>
      <c r="D157" t="s">
        <v>100</v>
      </c>
    </row>
    <row r="158" spans="1:5" x14ac:dyDescent="0.6">
      <c r="A158" t="s">
        <v>55</v>
      </c>
      <c r="B158" t="s">
        <v>122</v>
      </c>
      <c r="C158" t="s">
        <v>3</v>
      </c>
      <c r="D158" t="s">
        <v>99</v>
      </c>
      <c r="E158">
        <v>26274.5</v>
      </c>
    </row>
    <row r="159" spans="1:5" x14ac:dyDescent="0.6">
      <c r="A159" t="s">
        <v>55</v>
      </c>
      <c r="B159" t="s">
        <v>122</v>
      </c>
      <c r="C159" t="s">
        <v>3</v>
      </c>
      <c r="D159" t="s">
        <v>98</v>
      </c>
      <c r="E159">
        <v>13137.5</v>
      </c>
    </row>
    <row r="160" spans="1:5" x14ac:dyDescent="0.6">
      <c r="A160" t="s">
        <v>55</v>
      </c>
      <c r="B160" t="s">
        <v>122</v>
      </c>
      <c r="C160" t="s">
        <v>3</v>
      </c>
      <c r="D160" t="s">
        <v>97</v>
      </c>
    </row>
    <row r="161" spans="1:5" x14ac:dyDescent="0.6">
      <c r="A161" t="s">
        <v>55</v>
      </c>
      <c r="B161" t="s">
        <v>122</v>
      </c>
      <c r="C161" t="s">
        <v>3</v>
      </c>
      <c r="D161" t="s">
        <v>96</v>
      </c>
      <c r="E161">
        <v>13138</v>
      </c>
    </row>
    <row r="162" spans="1:5" x14ac:dyDescent="0.6">
      <c r="A162" t="s">
        <v>55</v>
      </c>
      <c r="B162" t="s">
        <v>122</v>
      </c>
      <c r="C162" t="s">
        <v>2</v>
      </c>
      <c r="D162" t="s">
        <v>100</v>
      </c>
    </row>
    <row r="163" spans="1:5" x14ac:dyDescent="0.6">
      <c r="A163" t="s">
        <v>55</v>
      </c>
      <c r="B163" t="s">
        <v>122</v>
      </c>
      <c r="C163" t="s">
        <v>2</v>
      </c>
      <c r="D163" t="s">
        <v>99</v>
      </c>
    </row>
    <row r="164" spans="1:5" x14ac:dyDescent="0.6">
      <c r="A164" t="s">
        <v>55</v>
      </c>
      <c r="B164" t="s">
        <v>122</v>
      </c>
      <c r="C164" t="s">
        <v>2</v>
      </c>
      <c r="D164" t="s">
        <v>98</v>
      </c>
    </row>
    <row r="165" spans="1:5" x14ac:dyDescent="0.6">
      <c r="A165" t="s">
        <v>55</v>
      </c>
      <c r="B165" t="s">
        <v>122</v>
      </c>
      <c r="C165" t="s">
        <v>2</v>
      </c>
      <c r="D165" t="s">
        <v>97</v>
      </c>
    </row>
    <row r="166" spans="1:5" x14ac:dyDescent="0.6">
      <c r="A166" t="s">
        <v>55</v>
      </c>
      <c r="B166" t="s">
        <v>122</v>
      </c>
      <c r="C166" t="s">
        <v>2</v>
      </c>
      <c r="D166" t="s">
        <v>96</v>
      </c>
    </row>
    <row r="167" spans="1:5" x14ac:dyDescent="0.6">
      <c r="A167" t="s">
        <v>55</v>
      </c>
      <c r="B167" t="s">
        <v>122</v>
      </c>
      <c r="C167" t="s">
        <v>82</v>
      </c>
      <c r="D167" t="s">
        <v>100</v>
      </c>
    </row>
    <row r="168" spans="1:5" x14ac:dyDescent="0.6">
      <c r="A168" t="s">
        <v>55</v>
      </c>
      <c r="B168" t="s">
        <v>122</v>
      </c>
      <c r="C168" t="s">
        <v>82</v>
      </c>
      <c r="D168" t="s">
        <v>99</v>
      </c>
      <c r="E168">
        <v>558641</v>
      </c>
    </row>
    <row r="169" spans="1:5" x14ac:dyDescent="0.6">
      <c r="A169" t="s">
        <v>55</v>
      </c>
      <c r="B169" t="s">
        <v>122</v>
      </c>
      <c r="C169" t="s">
        <v>82</v>
      </c>
      <c r="D169" t="s">
        <v>98</v>
      </c>
      <c r="E169">
        <v>279620</v>
      </c>
    </row>
    <row r="170" spans="1:5" x14ac:dyDescent="0.6">
      <c r="A170" t="s">
        <v>55</v>
      </c>
      <c r="B170" t="s">
        <v>122</v>
      </c>
      <c r="C170" t="s">
        <v>82</v>
      </c>
      <c r="D170" t="s">
        <v>97</v>
      </c>
    </row>
    <row r="171" spans="1:5" x14ac:dyDescent="0.6">
      <c r="A171" t="s">
        <v>55</v>
      </c>
      <c r="B171" t="s">
        <v>122</v>
      </c>
      <c r="C171" t="s">
        <v>82</v>
      </c>
      <c r="D171" t="s">
        <v>96</v>
      </c>
      <c r="E171">
        <v>279320</v>
      </c>
    </row>
    <row r="172" spans="1:5" x14ac:dyDescent="0.6">
      <c r="A172" t="s">
        <v>55</v>
      </c>
      <c r="B172" t="s">
        <v>122</v>
      </c>
      <c r="C172" t="s">
        <v>89</v>
      </c>
      <c r="D172" t="s">
        <v>100</v>
      </c>
      <c r="E172">
        <v>0</v>
      </c>
    </row>
    <row r="173" spans="1:5" x14ac:dyDescent="0.6">
      <c r="A173" t="s">
        <v>55</v>
      </c>
      <c r="B173" t="s">
        <v>122</v>
      </c>
      <c r="C173" t="s">
        <v>89</v>
      </c>
      <c r="D173" t="s">
        <v>99</v>
      </c>
      <c r="E173">
        <v>0</v>
      </c>
    </row>
    <row r="174" spans="1:5" x14ac:dyDescent="0.6">
      <c r="A174" t="s">
        <v>55</v>
      </c>
      <c r="B174" t="s">
        <v>122</v>
      </c>
      <c r="C174" t="s">
        <v>89</v>
      </c>
      <c r="D174" t="s">
        <v>98</v>
      </c>
      <c r="E174">
        <v>233937.5</v>
      </c>
    </row>
    <row r="175" spans="1:5" x14ac:dyDescent="0.6">
      <c r="A175" t="s">
        <v>55</v>
      </c>
      <c r="B175" t="s">
        <v>122</v>
      </c>
      <c r="C175" t="s">
        <v>89</v>
      </c>
      <c r="D175" t="s">
        <v>97</v>
      </c>
      <c r="E175">
        <v>435123.75</v>
      </c>
    </row>
    <row r="176" spans="1:5" x14ac:dyDescent="0.6">
      <c r="A176" t="s">
        <v>55</v>
      </c>
      <c r="B176" t="s">
        <v>122</v>
      </c>
      <c r="C176" t="s">
        <v>89</v>
      </c>
      <c r="D176" t="s">
        <v>96</v>
      </c>
      <c r="E176">
        <v>205865</v>
      </c>
    </row>
    <row r="177" spans="1:5" x14ac:dyDescent="0.6">
      <c r="A177" t="s">
        <v>55</v>
      </c>
      <c r="B177" t="s">
        <v>122</v>
      </c>
      <c r="C177" t="s">
        <v>1</v>
      </c>
      <c r="D177" t="s">
        <v>100</v>
      </c>
      <c r="E177">
        <v>0</v>
      </c>
    </row>
    <row r="178" spans="1:5" x14ac:dyDescent="0.6">
      <c r="A178" t="s">
        <v>55</v>
      </c>
      <c r="B178" t="s">
        <v>122</v>
      </c>
      <c r="C178" t="s">
        <v>1</v>
      </c>
      <c r="D178" t="s">
        <v>99</v>
      </c>
      <c r="E178">
        <v>0</v>
      </c>
    </row>
    <row r="179" spans="1:5" x14ac:dyDescent="0.6">
      <c r="A179" t="s">
        <v>55</v>
      </c>
      <c r="B179" t="s">
        <v>122</v>
      </c>
      <c r="C179" t="s">
        <v>1</v>
      </c>
      <c r="D179" t="s">
        <v>98</v>
      </c>
      <c r="E179">
        <v>587749.34239999996</v>
      </c>
    </row>
    <row r="180" spans="1:5" x14ac:dyDescent="0.6">
      <c r="A180" t="s">
        <v>55</v>
      </c>
      <c r="B180" t="s">
        <v>122</v>
      </c>
      <c r="C180" t="s">
        <v>1</v>
      </c>
      <c r="D180" t="s">
        <v>97</v>
      </c>
      <c r="E180">
        <v>1093213.3359999999</v>
      </c>
    </row>
    <row r="181" spans="1:5" x14ac:dyDescent="0.6">
      <c r="A181" t="s">
        <v>55</v>
      </c>
      <c r="B181" t="s">
        <v>122</v>
      </c>
      <c r="C181" t="s">
        <v>1</v>
      </c>
      <c r="D181" t="s">
        <v>96</v>
      </c>
      <c r="E181">
        <v>517219.728</v>
      </c>
    </row>
    <row r="182" spans="1:5" x14ac:dyDescent="0.6">
      <c r="A182" t="s">
        <v>55</v>
      </c>
      <c r="B182" t="s">
        <v>121</v>
      </c>
      <c r="C182" t="s">
        <v>7</v>
      </c>
      <c r="D182" t="s">
        <v>100</v>
      </c>
    </row>
    <row r="183" spans="1:5" x14ac:dyDescent="0.6">
      <c r="A183" t="s">
        <v>55</v>
      </c>
      <c r="B183" t="s">
        <v>121</v>
      </c>
      <c r="C183" t="s">
        <v>7</v>
      </c>
      <c r="D183" t="s">
        <v>99</v>
      </c>
    </row>
    <row r="184" spans="1:5" x14ac:dyDescent="0.6">
      <c r="A184" t="s">
        <v>55</v>
      </c>
      <c r="B184" t="s">
        <v>121</v>
      </c>
      <c r="C184" t="s">
        <v>7</v>
      </c>
      <c r="D184" t="s">
        <v>98</v>
      </c>
    </row>
    <row r="185" spans="1:5" x14ac:dyDescent="0.6">
      <c r="A185" t="s">
        <v>55</v>
      </c>
      <c r="B185" t="s">
        <v>121</v>
      </c>
      <c r="C185" t="s">
        <v>7</v>
      </c>
      <c r="D185" t="s">
        <v>97</v>
      </c>
    </row>
    <row r="186" spans="1:5" x14ac:dyDescent="0.6">
      <c r="A186" t="s">
        <v>55</v>
      </c>
      <c r="B186" t="s">
        <v>121</v>
      </c>
      <c r="C186" t="s">
        <v>7</v>
      </c>
      <c r="D186" t="s">
        <v>96</v>
      </c>
    </row>
    <row r="187" spans="1:5" x14ac:dyDescent="0.6">
      <c r="A187" t="s">
        <v>55</v>
      </c>
      <c r="B187" t="s">
        <v>121</v>
      </c>
      <c r="C187" t="s">
        <v>4</v>
      </c>
      <c r="D187" t="s">
        <v>100</v>
      </c>
    </row>
    <row r="188" spans="1:5" x14ac:dyDescent="0.6">
      <c r="A188" t="s">
        <v>55</v>
      </c>
      <c r="B188" t="s">
        <v>121</v>
      </c>
      <c r="C188" t="s">
        <v>4</v>
      </c>
      <c r="D188" t="s">
        <v>99</v>
      </c>
    </row>
    <row r="189" spans="1:5" x14ac:dyDescent="0.6">
      <c r="A189" t="s">
        <v>55</v>
      </c>
      <c r="B189" t="s">
        <v>121</v>
      </c>
      <c r="C189" t="s">
        <v>4</v>
      </c>
      <c r="D189" t="s">
        <v>98</v>
      </c>
    </row>
    <row r="190" spans="1:5" x14ac:dyDescent="0.6">
      <c r="A190" t="s">
        <v>55</v>
      </c>
      <c r="B190" t="s">
        <v>121</v>
      </c>
      <c r="C190" t="s">
        <v>4</v>
      </c>
      <c r="D190" t="s">
        <v>97</v>
      </c>
    </row>
    <row r="191" spans="1:5" x14ac:dyDescent="0.6">
      <c r="A191" t="s">
        <v>55</v>
      </c>
      <c r="B191" t="s">
        <v>121</v>
      </c>
      <c r="C191" t="s">
        <v>4</v>
      </c>
      <c r="D191" t="s">
        <v>96</v>
      </c>
    </row>
    <row r="192" spans="1:5" x14ac:dyDescent="0.6">
      <c r="A192" t="s">
        <v>55</v>
      </c>
      <c r="B192" t="s">
        <v>121</v>
      </c>
      <c r="C192" t="s">
        <v>90</v>
      </c>
      <c r="D192" t="s">
        <v>100</v>
      </c>
    </row>
    <row r="193" spans="1:4" x14ac:dyDescent="0.6">
      <c r="A193" t="s">
        <v>55</v>
      </c>
      <c r="B193" t="s">
        <v>121</v>
      </c>
      <c r="C193" t="s">
        <v>90</v>
      </c>
      <c r="D193" t="s">
        <v>99</v>
      </c>
    </row>
    <row r="194" spans="1:4" x14ac:dyDescent="0.6">
      <c r="A194" t="s">
        <v>55</v>
      </c>
      <c r="B194" t="s">
        <v>121</v>
      </c>
      <c r="C194" t="s">
        <v>90</v>
      </c>
      <c r="D194" t="s">
        <v>98</v>
      </c>
    </row>
    <row r="195" spans="1:4" x14ac:dyDescent="0.6">
      <c r="A195" t="s">
        <v>55</v>
      </c>
      <c r="B195" t="s">
        <v>121</v>
      </c>
      <c r="C195" t="s">
        <v>90</v>
      </c>
      <c r="D195" t="s">
        <v>97</v>
      </c>
    </row>
    <row r="196" spans="1:4" x14ac:dyDescent="0.6">
      <c r="A196" t="s">
        <v>55</v>
      </c>
      <c r="B196" t="s">
        <v>121</v>
      </c>
      <c r="C196" t="s">
        <v>90</v>
      </c>
      <c r="D196" t="s">
        <v>96</v>
      </c>
    </row>
    <row r="197" spans="1:4" x14ac:dyDescent="0.6">
      <c r="A197" t="s">
        <v>55</v>
      </c>
      <c r="B197" t="s">
        <v>121</v>
      </c>
      <c r="C197" t="s">
        <v>6</v>
      </c>
      <c r="D197" t="s">
        <v>100</v>
      </c>
    </row>
    <row r="198" spans="1:4" x14ac:dyDescent="0.6">
      <c r="A198" t="s">
        <v>55</v>
      </c>
      <c r="B198" t="s">
        <v>121</v>
      </c>
      <c r="C198" t="s">
        <v>6</v>
      </c>
      <c r="D198" t="s">
        <v>99</v>
      </c>
    </row>
    <row r="199" spans="1:4" x14ac:dyDescent="0.6">
      <c r="A199" t="s">
        <v>55</v>
      </c>
      <c r="B199" t="s">
        <v>121</v>
      </c>
      <c r="C199" t="s">
        <v>6</v>
      </c>
      <c r="D199" t="s">
        <v>98</v>
      </c>
    </row>
    <row r="200" spans="1:4" x14ac:dyDescent="0.6">
      <c r="A200" t="s">
        <v>55</v>
      </c>
      <c r="B200" t="s">
        <v>121</v>
      </c>
      <c r="C200" t="s">
        <v>6</v>
      </c>
      <c r="D200" t="s">
        <v>97</v>
      </c>
    </row>
    <row r="201" spans="1:4" x14ac:dyDescent="0.6">
      <c r="A201" t="s">
        <v>55</v>
      </c>
      <c r="B201" t="s">
        <v>121</v>
      </c>
      <c r="C201" t="s">
        <v>6</v>
      </c>
      <c r="D201" t="s">
        <v>96</v>
      </c>
    </row>
    <row r="202" spans="1:4" x14ac:dyDescent="0.6">
      <c r="A202" t="s">
        <v>55</v>
      </c>
      <c r="B202" t="s">
        <v>121</v>
      </c>
      <c r="C202" t="s">
        <v>3</v>
      </c>
      <c r="D202" t="s">
        <v>100</v>
      </c>
    </row>
    <row r="203" spans="1:4" x14ac:dyDescent="0.6">
      <c r="A203" t="s">
        <v>55</v>
      </c>
      <c r="B203" t="s">
        <v>121</v>
      </c>
      <c r="C203" t="s">
        <v>3</v>
      </c>
      <c r="D203" t="s">
        <v>99</v>
      </c>
    </row>
    <row r="204" spans="1:4" x14ac:dyDescent="0.6">
      <c r="A204" t="s">
        <v>55</v>
      </c>
      <c r="B204" t="s">
        <v>121</v>
      </c>
      <c r="C204" t="s">
        <v>3</v>
      </c>
      <c r="D204" t="s">
        <v>98</v>
      </c>
    </row>
    <row r="205" spans="1:4" x14ac:dyDescent="0.6">
      <c r="A205" t="s">
        <v>55</v>
      </c>
      <c r="B205" t="s">
        <v>121</v>
      </c>
      <c r="C205" t="s">
        <v>3</v>
      </c>
      <c r="D205" t="s">
        <v>97</v>
      </c>
    </row>
    <row r="206" spans="1:4" x14ac:dyDescent="0.6">
      <c r="A206" t="s">
        <v>55</v>
      </c>
      <c r="B206" t="s">
        <v>121</v>
      </c>
      <c r="C206" t="s">
        <v>3</v>
      </c>
      <c r="D206" t="s">
        <v>96</v>
      </c>
    </row>
    <row r="207" spans="1:4" x14ac:dyDescent="0.6">
      <c r="A207" t="s">
        <v>55</v>
      </c>
      <c r="B207" t="s">
        <v>121</v>
      </c>
      <c r="C207" t="s">
        <v>2</v>
      </c>
      <c r="D207" t="s">
        <v>100</v>
      </c>
    </row>
    <row r="208" spans="1:4" x14ac:dyDescent="0.6">
      <c r="A208" t="s">
        <v>55</v>
      </c>
      <c r="B208" t="s">
        <v>121</v>
      </c>
      <c r="C208" t="s">
        <v>2</v>
      </c>
      <c r="D208" t="s">
        <v>99</v>
      </c>
    </row>
    <row r="209" spans="1:5" x14ac:dyDescent="0.6">
      <c r="A209" t="s">
        <v>55</v>
      </c>
      <c r="B209" t="s">
        <v>121</v>
      </c>
      <c r="C209" t="s">
        <v>2</v>
      </c>
      <c r="D209" t="s">
        <v>98</v>
      </c>
    </row>
    <row r="210" spans="1:5" x14ac:dyDescent="0.6">
      <c r="A210" t="s">
        <v>55</v>
      </c>
      <c r="B210" t="s">
        <v>121</v>
      </c>
      <c r="C210" t="s">
        <v>2</v>
      </c>
      <c r="D210" t="s">
        <v>97</v>
      </c>
    </row>
    <row r="211" spans="1:5" x14ac:dyDescent="0.6">
      <c r="A211" t="s">
        <v>55</v>
      </c>
      <c r="B211" t="s">
        <v>121</v>
      </c>
      <c r="C211" t="s">
        <v>2</v>
      </c>
      <c r="D211" t="s">
        <v>96</v>
      </c>
    </row>
    <row r="212" spans="1:5" x14ac:dyDescent="0.6">
      <c r="A212" t="s">
        <v>55</v>
      </c>
      <c r="B212" t="s">
        <v>121</v>
      </c>
      <c r="C212" t="s">
        <v>82</v>
      </c>
      <c r="D212" t="s">
        <v>100</v>
      </c>
    </row>
    <row r="213" spans="1:5" x14ac:dyDescent="0.6">
      <c r="A213" t="s">
        <v>55</v>
      </c>
      <c r="B213" t="s">
        <v>121</v>
      </c>
      <c r="C213" t="s">
        <v>82</v>
      </c>
      <c r="D213" t="s">
        <v>99</v>
      </c>
    </row>
    <row r="214" spans="1:5" x14ac:dyDescent="0.6">
      <c r="A214" t="s">
        <v>55</v>
      </c>
      <c r="B214" t="s">
        <v>121</v>
      </c>
      <c r="C214" t="s">
        <v>82</v>
      </c>
      <c r="D214" t="s">
        <v>98</v>
      </c>
    </row>
    <row r="215" spans="1:5" x14ac:dyDescent="0.6">
      <c r="A215" t="s">
        <v>55</v>
      </c>
      <c r="B215" t="s">
        <v>121</v>
      </c>
      <c r="C215" t="s">
        <v>82</v>
      </c>
      <c r="D215" t="s">
        <v>97</v>
      </c>
    </row>
    <row r="216" spans="1:5" x14ac:dyDescent="0.6">
      <c r="A216" t="s">
        <v>55</v>
      </c>
      <c r="B216" t="s">
        <v>121</v>
      </c>
      <c r="C216" t="s">
        <v>82</v>
      </c>
      <c r="D216" t="s">
        <v>96</v>
      </c>
    </row>
    <row r="217" spans="1:5" x14ac:dyDescent="0.6">
      <c r="A217" t="s">
        <v>55</v>
      </c>
      <c r="B217" t="s">
        <v>121</v>
      </c>
      <c r="C217" t="s">
        <v>89</v>
      </c>
      <c r="D217" t="s">
        <v>100</v>
      </c>
      <c r="E217">
        <v>0</v>
      </c>
    </row>
    <row r="218" spans="1:5" x14ac:dyDescent="0.6">
      <c r="A218" t="s">
        <v>55</v>
      </c>
      <c r="B218" t="s">
        <v>121</v>
      </c>
      <c r="C218" t="s">
        <v>89</v>
      </c>
      <c r="D218" t="s">
        <v>99</v>
      </c>
      <c r="E218">
        <v>167.2</v>
      </c>
    </row>
    <row r="219" spans="1:5" x14ac:dyDescent="0.6">
      <c r="A219" t="s">
        <v>55</v>
      </c>
      <c r="B219" t="s">
        <v>121</v>
      </c>
      <c r="C219" t="s">
        <v>89</v>
      </c>
      <c r="D219" t="s">
        <v>98</v>
      </c>
      <c r="E219">
        <v>0</v>
      </c>
    </row>
    <row r="220" spans="1:5" x14ac:dyDescent="0.6">
      <c r="A220" t="s">
        <v>55</v>
      </c>
      <c r="B220" t="s">
        <v>121</v>
      </c>
      <c r="C220" t="s">
        <v>89</v>
      </c>
      <c r="D220" t="s">
        <v>97</v>
      </c>
      <c r="E220">
        <v>38210.9</v>
      </c>
    </row>
    <row r="221" spans="1:5" x14ac:dyDescent="0.6">
      <c r="A221" t="s">
        <v>55</v>
      </c>
      <c r="B221" t="s">
        <v>121</v>
      </c>
      <c r="C221" t="s">
        <v>89</v>
      </c>
      <c r="D221" t="s">
        <v>96</v>
      </c>
      <c r="E221">
        <v>13088.15</v>
      </c>
    </row>
    <row r="222" spans="1:5" x14ac:dyDescent="0.6">
      <c r="A222" t="s">
        <v>55</v>
      </c>
      <c r="B222" t="s">
        <v>121</v>
      </c>
      <c r="C222" t="s">
        <v>1</v>
      </c>
      <c r="D222" t="s">
        <v>100</v>
      </c>
      <c r="E222">
        <v>0</v>
      </c>
    </row>
    <row r="223" spans="1:5" x14ac:dyDescent="0.6">
      <c r="A223" t="s">
        <v>55</v>
      </c>
      <c r="B223" t="s">
        <v>121</v>
      </c>
      <c r="C223" t="s">
        <v>1</v>
      </c>
      <c r="D223" t="s">
        <v>99</v>
      </c>
      <c r="E223">
        <v>72.811199999999999</v>
      </c>
    </row>
    <row r="224" spans="1:5" x14ac:dyDescent="0.6">
      <c r="A224" t="s">
        <v>55</v>
      </c>
      <c r="B224" t="s">
        <v>121</v>
      </c>
      <c r="C224" t="s">
        <v>1</v>
      </c>
      <c r="D224" t="s">
        <v>98</v>
      </c>
      <c r="E224">
        <v>0</v>
      </c>
    </row>
    <row r="225" spans="1:5" x14ac:dyDescent="0.6">
      <c r="A225" t="s">
        <v>55</v>
      </c>
      <c r="B225" t="s">
        <v>121</v>
      </c>
      <c r="C225" t="s">
        <v>1</v>
      </c>
      <c r="D225" t="s">
        <v>97</v>
      </c>
      <c r="E225">
        <v>16550.836800000001</v>
      </c>
    </row>
    <row r="226" spans="1:5" x14ac:dyDescent="0.6">
      <c r="A226" t="s">
        <v>55</v>
      </c>
      <c r="B226" t="s">
        <v>121</v>
      </c>
      <c r="C226" t="s">
        <v>1</v>
      </c>
      <c r="D226" t="s">
        <v>96</v>
      </c>
      <c r="E226">
        <v>5668.8720000000003</v>
      </c>
    </row>
    <row r="227" spans="1:5" x14ac:dyDescent="0.6">
      <c r="A227" t="s">
        <v>55</v>
      </c>
      <c r="B227" t="s">
        <v>123</v>
      </c>
      <c r="C227" t="s">
        <v>7</v>
      </c>
      <c r="D227" t="s">
        <v>100</v>
      </c>
    </row>
    <row r="228" spans="1:5" x14ac:dyDescent="0.6">
      <c r="A228" t="s">
        <v>55</v>
      </c>
      <c r="B228" t="s">
        <v>123</v>
      </c>
      <c r="C228" t="s">
        <v>7</v>
      </c>
      <c r="D228" t="s">
        <v>99</v>
      </c>
    </row>
    <row r="229" spans="1:5" x14ac:dyDescent="0.6">
      <c r="A229" t="s">
        <v>55</v>
      </c>
      <c r="B229" t="s">
        <v>123</v>
      </c>
      <c r="C229" t="s">
        <v>7</v>
      </c>
      <c r="D229" t="s">
        <v>98</v>
      </c>
    </row>
    <row r="230" spans="1:5" x14ac:dyDescent="0.6">
      <c r="A230" t="s">
        <v>55</v>
      </c>
      <c r="B230" t="s">
        <v>123</v>
      </c>
      <c r="C230" t="s">
        <v>7</v>
      </c>
      <c r="D230" t="s">
        <v>97</v>
      </c>
    </row>
    <row r="231" spans="1:5" x14ac:dyDescent="0.6">
      <c r="A231" t="s">
        <v>55</v>
      </c>
      <c r="B231" t="s">
        <v>123</v>
      </c>
      <c r="C231" t="s">
        <v>7</v>
      </c>
      <c r="D231" t="s">
        <v>96</v>
      </c>
    </row>
    <row r="232" spans="1:5" x14ac:dyDescent="0.6">
      <c r="A232" t="s">
        <v>55</v>
      </c>
      <c r="B232" t="s">
        <v>123</v>
      </c>
      <c r="C232" t="s">
        <v>4</v>
      </c>
      <c r="D232" t="s">
        <v>100</v>
      </c>
    </row>
    <row r="233" spans="1:5" x14ac:dyDescent="0.6">
      <c r="A233" t="s">
        <v>55</v>
      </c>
      <c r="B233" t="s">
        <v>123</v>
      </c>
      <c r="C233" t="s">
        <v>4</v>
      </c>
      <c r="D233" t="s">
        <v>99</v>
      </c>
    </row>
    <row r="234" spans="1:5" x14ac:dyDescent="0.6">
      <c r="A234" t="s">
        <v>55</v>
      </c>
      <c r="B234" t="s">
        <v>123</v>
      </c>
      <c r="C234" t="s">
        <v>4</v>
      </c>
      <c r="D234" t="s">
        <v>98</v>
      </c>
    </row>
    <row r="235" spans="1:5" x14ac:dyDescent="0.6">
      <c r="A235" t="s">
        <v>55</v>
      </c>
      <c r="B235" t="s">
        <v>123</v>
      </c>
      <c r="C235" t="s">
        <v>4</v>
      </c>
      <c r="D235" t="s">
        <v>97</v>
      </c>
    </row>
    <row r="236" spans="1:5" x14ac:dyDescent="0.6">
      <c r="A236" t="s">
        <v>55</v>
      </c>
      <c r="B236" t="s">
        <v>123</v>
      </c>
      <c r="C236" t="s">
        <v>4</v>
      </c>
      <c r="D236" t="s">
        <v>96</v>
      </c>
    </row>
    <row r="237" spans="1:5" x14ac:dyDescent="0.6">
      <c r="A237" t="s">
        <v>55</v>
      </c>
      <c r="B237" t="s">
        <v>123</v>
      </c>
      <c r="C237" t="s">
        <v>90</v>
      </c>
      <c r="D237" t="s">
        <v>100</v>
      </c>
    </row>
    <row r="238" spans="1:5" x14ac:dyDescent="0.6">
      <c r="A238" t="s">
        <v>55</v>
      </c>
      <c r="B238" t="s">
        <v>123</v>
      </c>
      <c r="C238" t="s">
        <v>90</v>
      </c>
      <c r="D238" t="s">
        <v>99</v>
      </c>
    </row>
    <row r="239" spans="1:5" x14ac:dyDescent="0.6">
      <c r="A239" t="s">
        <v>55</v>
      </c>
      <c r="B239" t="s">
        <v>123</v>
      </c>
      <c r="C239" t="s">
        <v>90</v>
      </c>
      <c r="D239" t="s">
        <v>98</v>
      </c>
    </row>
    <row r="240" spans="1:5" x14ac:dyDescent="0.6">
      <c r="A240" t="s">
        <v>55</v>
      </c>
      <c r="B240" t="s">
        <v>123</v>
      </c>
      <c r="C240" t="s">
        <v>90</v>
      </c>
      <c r="D240" t="s">
        <v>97</v>
      </c>
    </row>
    <row r="241" spans="1:5" x14ac:dyDescent="0.6">
      <c r="A241" t="s">
        <v>55</v>
      </c>
      <c r="B241" t="s">
        <v>123</v>
      </c>
      <c r="C241" t="s">
        <v>90</v>
      </c>
      <c r="D241" t="s">
        <v>96</v>
      </c>
    </row>
    <row r="242" spans="1:5" x14ac:dyDescent="0.6">
      <c r="A242" t="s">
        <v>55</v>
      </c>
      <c r="B242" t="s">
        <v>123</v>
      </c>
      <c r="C242" t="s">
        <v>6</v>
      </c>
      <c r="D242" t="s">
        <v>100</v>
      </c>
    </row>
    <row r="243" spans="1:5" x14ac:dyDescent="0.6">
      <c r="A243" t="s">
        <v>55</v>
      </c>
      <c r="B243" t="s">
        <v>123</v>
      </c>
      <c r="C243" t="s">
        <v>6</v>
      </c>
      <c r="D243" t="s">
        <v>99</v>
      </c>
    </row>
    <row r="244" spans="1:5" x14ac:dyDescent="0.6">
      <c r="A244" t="s">
        <v>55</v>
      </c>
      <c r="B244" t="s">
        <v>123</v>
      </c>
      <c r="C244" t="s">
        <v>6</v>
      </c>
      <c r="D244" t="s">
        <v>98</v>
      </c>
    </row>
    <row r="245" spans="1:5" x14ac:dyDescent="0.6">
      <c r="A245" t="s">
        <v>55</v>
      </c>
      <c r="B245" t="s">
        <v>123</v>
      </c>
      <c r="C245" t="s">
        <v>6</v>
      </c>
      <c r="D245" t="s">
        <v>97</v>
      </c>
    </row>
    <row r="246" spans="1:5" x14ac:dyDescent="0.6">
      <c r="A246" t="s">
        <v>55</v>
      </c>
      <c r="B246" t="s">
        <v>123</v>
      </c>
      <c r="C246" t="s">
        <v>6</v>
      </c>
      <c r="D246" t="s">
        <v>96</v>
      </c>
    </row>
    <row r="247" spans="1:5" x14ac:dyDescent="0.6">
      <c r="A247" t="s">
        <v>55</v>
      </c>
      <c r="B247" t="s">
        <v>123</v>
      </c>
      <c r="C247" t="s">
        <v>3</v>
      </c>
      <c r="D247" t="s">
        <v>100</v>
      </c>
    </row>
    <row r="248" spans="1:5" x14ac:dyDescent="0.6">
      <c r="A248" t="s">
        <v>55</v>
      </c>
      <c r="B248" t="s">
        <v>123</v>
      </c>
      <c r="C248" t="s">
        <v>3</v>
      </c>
      <c r="D248" t="s">
        <v>99</v>
      </c>
      <c r="E248">
        <v>7189</v>
      </c>
    </row>
    <row r="249" spans="1:5" x14ac:dyDescent="0.6">
      <c r="A249" t="s">
        <v>55</v>
      </c>
      <c r="B249" t="s">
        <v>123</v>
      </c>
      <c r="C249" t="s">
        <v>3</v>
      </c>
      <c r="D249" t="s">
        <v>98</v>
      </c>
      <c r="E249">
        <v>3594</v>
      </c>
    </row>
    <row r="250" spans="1:5" x14ac:dyDescent="0.6">
      <c r="A250" t="s">
        <v>55</v>
      </c>
      <c r="B250" t="s">
        <v>123</v>
      </c>
      <c r="C250" t="s">
        <v>3</v>
      </c>
      <c r="D250" t="s">
        <v>97</v>
      </c>
    </row>
    <row r="251" spans="1:5" x14ac:dyDescent="0.6">
      <c r="A251" t="s">
        <v>55</v>
      </c>
      <c r="B251" t="s">
        <v>123</v>
      </c>
      <c r="C251" t="s">
        <v>3</v>
      </c>
      <c r="D251" t="s">
        <v>96</v>
      </c>
      <c r="E251">
        <v>3594</v>
      </c>
    </row>
    <row r="252" spans="1:5" x14ac:dyDescent="0.6">
      <c r="A252" t="s">
        <v>55</v>
      </c>
      <c r="B252" t="s">
        <v>123</v>
      </c>
      <c r="C252" t="s">
        <v>2</v>
      </c>
      <c r="D252" t="s">
        <v>100</v>
      </c>
    </row>
    <row r="253" spans="1:5" x14ac:dyDescent="0.6">
      <c r="A253" t="s">
        <v>55</v>
      </c>
      <c r="B253" t="s">
        <v>123</v>
      </c>
      <c r="C253" t="s">
        <v>2</v>
      </c>
      <c r="D253" t="s">
        <v>99</v>
      </c>
    </row>
    <row r="254" spans="1:5" x14ac:dyDescent="0.6">
      <c r="A254" t="s">
        <v>55</v>
      </c>
      <c r="B254" t="s">
        <v>123</v>
      </c>
      <c r="C254" t="s">
        <v>2</v>
      </c>
      <c r="D254" t="s">
        <v>98</v>
      </c>
    </row>
    <row r="255" spans="1:5" x14ac:dyDescent="0.6">
      <c r="A255" t="s">
        <v>55</v>
      </c>
      <c r="B255" t="s">
        <v>123</v>
      </c>
      <c r="C255" t="s">
        <v>2</v>
      </c>
      <c r="D255" t="s">
        <v>97</v>
      </c>
    </row>
    <row r="256" spans="1:5" x14ac:dyDescent="0.6">
      <c r="A256" t="s">
        <v>55</v>
      </c>
      <c r="B256" t="s">
        <v>123</v>
      </c>
      <c r="C256" t="s">
        <v>2</v>
      </c>
      <c r="D256" t="s">
        <v>96</v>
      </c>
    </row>
    <row r="257" spans="1:5" x14ac:dyDescent="0.6">
      <c r="A257" t="s">
        <v>55</v>
      </c>
      <c r="B257" t="s">
        <v>123</v>
      </c>
      <c r="C257" t="s">
        <v>82</v>
      </c>
      <c r="D257" t="s">
        <v>100</v>
      </c>
    </row>
    <row r="258" spans="1:5" x14ac:dyDescent="0.6">
      <c r="A258" t="s">
        <v>55</v>
      </c>
      <c r="B258" t="s">
        <v>123</v>
      </c>
      <c r="C258" t="s">
        <v>82</v>
      </c>
      <c r="D258" t="s">
        <v>99</v>
      </c>
    </row>
    <row r="259" spans="1:5" x14ac:dyDescent="0.6">
      <c r="A259" t="s">
        <v>55</v>
      </c>
      <c r="B259" t="s">
        <v>123</v>
      </c>
      <c r="C259" t="s">
        <v>82</v>
      </c>
      <c r="D259" t="s">
        <v>98</v>
      </c>
    </row>
    <row r="260" spans="1:5" x14ac:dyDescent="0.6">
      <c r="A260" t="s">
        <v>55</v>
      </c>
      <c r="B260" t="s">
        <v>123</v>
      </c>
      <c r="C260" t="s">
        <v>82</v>
      </c>
      <c r="D260" t="s">
        <v>97</v>
      </c>
    </row>
    <row r="261" spans="1:5" x14ac:dyDescent="0.6">
      <c r="A261" t="s">
        <v>55</v>
      </c>
      <c r="B261" t="s">
        <v>123</v>
      </c>
      <c r="C261" t="s">
        <v>82</v>
      </c>
      <c r="D261" t="s">
        <v>96</v>
      </c>
    </row>
    <row r="262" spans="1:5" x14ac:dyDescent="0.6">
      <c r="A262" t="s">
        <v>55</v>
      </c>
      <c r="B262" t="s">
        <v>123</v>
      </c>
      <c r="C262" t="s">
        <v>89</v>
      </c>
      <c r="D262" t="s">
        <v>100</v>
      </c>
      <c r="E262">
        <v>0</v>
      </c>
    </row>
    <row r="263" spans="1:5" x14ac:dyDescent="0.6">
      <c r="A263" t="s">
        <v>55</v>
      </c>
      <c r="B263" t="s">
        <v>123</v>
      </c>
      <c r="C263" t="s">
        <v>89</v>
      </c>
      <c r="D263" t="s">
        <v>99</v>
      </c>
      <c r="E263">
        <v>0</v>
      </c>
    </row>
    <row r="264" spans="1:5" x14ac:dyDescent="0.6">
      <c r="A264" t="s">
        <v>55</v>
      </c>
      <c r="B264" t="s">
        <v>123</v>
      </c>
      <c r="C264" t="s">
        <v>89</v>
      </c>
      <c r="D264" t="s">
        <v>98</v>
      </c>
      <c r="E264">
        <v>114942.39999999999</v>
      </c>
    </row>
    <row r="265" spans="1:5" x14ac:dyDescent="0.6">
      <c r="A265" t="s">
        <v>55</v>
      </c>
      <c r="B265" t="s">
        <v>123</v>
      </c>
      <c r="C265" t="s">
        <v>89</v>
      </c>
      <c r="D265" t="s">
        <v>97</v>
      </c>
      <c r="E265">
        <v>192255.3</v>
      </c>
    </row>
    <row r="266" spans="1:5" x14ac:dyDescent="0.6">
      <c r="A266" t="s">
        <v>55</v>
      </c>
      <c r="B266" t="s">
        <v>123</v>
      </c>
      <c r="C266" t="s">
        <v>89</v>
      </c>
      <c r="D266" t="s">
        <v>96</v>
      </c>
      <c r="E266">
        <v>57744.800000000003</v>
      </c>
    </row>
    <row r="267" spans="1:5" x14ac:dyDescent="0.6">
      <c r="A267" t="s">
        <v>55</v>
      </c>
      <c r="B267" t="s">
        <v>123</v>
      </c>
      <c r="C267" t="s">
        <v>1</v>
      </c>
      <c r="D267" t="s">
        <v>100</v>
      </c>
      <c r="E267">
        <v>0</v>
      </c>
    </row>
    <row r="268" spans="1:5" x14ac:dyDescent="0.6">
      <c r="A268" t="s">
        <v>55</v>
      </c>
      <c r="B268" t="s">
        <v>123</v>
      </c>
      <c r="C268" t="s">
        <v>1</v>
      </c>
      <c r="D268" t="s">
        <v>99</v>
      </c>
      <c r="E268">
        <v>0</v>
      </c>
    </row>
    <row r="269" spans="1:5" x14ac:dyDescent="0.6">
      <c r="A269" t="s">
        <v>55</v>
      </c>
      <c r="B269" t="s">
        <v>123</v>
      </c>
      <c r="C269" t="s">
        <v>1</v>
      </c>
      <c r="D269" t="s">
        <v>98</v>
      </c>
      <c r="E269">
        <v>286410.2721</v>
      </c>
    </row>
    <row r="270" spans="1:5" x14ac:dyDescent="0.6">
      <c r="A270" t="s">
        <v>55</v>
      </c>
      <c r="B270" t="s">
        <v>123</v>
      </c>
      <c r="C270" t="s">
        <v>1</v>
      </c>
      <c r="D270" t="s">
        <v>97</v>
      </c>
      <c r="E270">
        <v>479054.86109999998</v>
      </c>
    </row>
    <row r="271" spans="1:5" x14ac:dyDescent="0.6">
      <c r="A271" t="s">
        <v>55</v>
      </c>
      <c r="B271" t="s">
        <v>123</v>
      </c>
      <c r="C271" t="s">
        <v>1</v>
      </c>
      <c r="D271" t="s">
        <v>96</v>
      </c>
      <c r="E271">
        <v>143887.31340000001</v>
      </c>
    </row>
    <row r="272" spans="1:5" x14ac:dyDescent="0.6">
      <c r="A272" t="s">
        <v>55</v>
      </c>
      <c r="B272" t="s">
        <v>119</v>
      </c>
      <c r="C272" t="s">
        <v>7</v>
      </c>
      <c r="D272" t="s">
        <v>100</v>
      </c>
    </row>
    <row r="273" spans="1:4" x14ac:dyDescent="0.6">
      <c r="A273" t="s">
        <v>55</v>
      </c>
      <c r="B273" t="s">
        <v>119</v>
      </c>
      <c r="C273" t="s">
        <v>7</v>
      </c>
      <c r="D273" t="s">
        <v>99</v>
      </c>
    </row>
    <row r="274" spans="1:4" x14ac:dyDescent="0.6">
      <c r="A274" t="s">
        <v>55</v>
      </c>
      <c r="B274" t="s">
        <v>119</v>
      </c>
      <c r="C274" t="s">
        <v>7</v>
      </c>
      <c r="D274" t="s">
        <v>98</v>
      </c>
    </row>
    <row r="275" spans="1:4" x14ac:dyDescent="0.6">
      <c r="A275" t="s">
        <v>55</v>
      </c>
      <c r="B275" t="s">
        <v>119</v>
      </c>
      <c r="C275" t="s">
        <v>7</v>
      </c>
      <c r="D275" t="s">
        <v>97</v>
      </c>
    </row>
    <row r="276" spans="1:4" x14ac:dyDescent="0.6">
      <c r="A276" t="s">
        <v>55</v>
      </c>
      <c r="B276" t="s">
        <v>119</v>
      </c>
      <c r="C276" t="s">
        <v>7</v>
      </c>
      <c r="D276" t="s">
        <v>96</v>
      </c>
    </row>
    <row r="277" spans="1:4" x14ac:dyDescent="0.6">
      <c r="A277" t="s">
        <v>55</v>
      </c>
      <c r="B277" t="s">
        <v>119</v>
      </c>
      <c r="C277" t="s">
        <v>4</v>
      </c>
      <c r="D277" t="s">
        <v>100</v>
      </c>
    </row>
    <row r="278" spans="1:4" x14ac:dyDescent="0.6">
      <c r="A278" t="s">
        <v>55</v>
      </c>
      <c r="B278" t="s">
        <v>119</v>
      </c>
      <c r="C278" t="s">
        <v>4</v>
      </c>
      <c r="D278" t="s">
        <v>99</v>
      </c>
    </row>
    <row r="279" spans="1:4" x14ac:dyDescent="0.6">
      <c r="A279" t="s">
        <v>55</v>
      </c>
      <c r="B279" t="s">
        <v>119</v>
      </c>
      <c r="C279" t="s">
        <v>4</v>
      </c>
      <c r="D279" t="s">
        <v>98</v>
      </c>
    </row>
    <row r="280" spans="1:4" x14ac:dyDescent="0.6">
      <c r="A280" t="s">
        <v>55</v>
      </c>
      <c r="B280" t="s">
        <v>119</v>
      </c>
      <c r="C280" t="s">
        <v>4</v>
      </c>
      <c r="D280" t="s">
        <v>97</v>
      </c>
    </row>
    <row r="281" spans="1:4" x14ac:dyDescent="0.6">
      <c r="A281" t="s">
        <v>55</v>
      </c>
      <c r="B281" t="s">
        <v>119</v>
      </c>
      <c r="C281" t="s">
        <v>4</v>
      </c>
      <c r="D281" t="s">
        <v>96</v>
      </c>
    </row>
    <row r="282" spans="1:4" x14ac:dyDescent="0.6">
      <c r="A282" t="s">
        <v>55</v>
      </c>
      <c r="B282" t="s">
        <v>119</v>
      </c>
      <c r="C282" t="s">
        <v>90</v>
      </c>
      <c r="D282" t="s">
        <v>100</v>
      </c>
    </row>
    <row r="283" spans="1:4" x14ac:dyDescent="0.6">
      <c r="A283" t="s">
        <v>55</v>
      </c>
      <c r="B283" t="s">
        <v>119</v>
      </c>
      <c r="C283" t="s">
        <v>90</v>
      </c>
      <c r="D283" t="s">
        <v>99</v>
      </c>
    </row>
    <row r="284" spans="1:4" x14ac:dyDescent="0.6">
      <c r="A284" t="s">
        <v>55</v>
      </c>
      <c r="B284" t="s">
        <v>119</v>
      </c>
      <c r="C284" t="s">
        <v>90</v>
      </c>
      <c r="D284" t="s">
        <v>98</v>
      </c>
    </row>
    <row r="285" spans="1:4" x14ac:dyDescent="0.6">
      <c r="A285" t="s">
        <v>55</v>
      </c>
      <c r="B285" t="s">
        <v>119</v>
      </c>
      <c r="C285" t="s">
        <v>90</v>
      </c>
      <c r="D285" t="s">
        <v>97</v>
      </c>
    </row>
    <row r="286" spans="1:4" x14ac:dyDescent="0.6">
      <c r="A286" t="s">
        <v>55</v>
      </c>
      <c r="B286" t="s">
        <v>119</v>
      </c>
      <c r="C286" t="s">
        <v>90</v>
      </c>
      <c r="D286" t="s">
        <v>96</v>
      </c>
    </row>
    <row r="287" spans="1:4" x14ac:dyDescent="0.6">
      <c r="A287" t="s">
        <v>55</v>
      </c>
      <c r="B287" t="s">
        <v>119</v>
      </c>
      <c r="C287" t="s">
        <v>6</v>
      </c>
      <c r="D287" t="s">
        <v>100</v>
      </c>
    </row>
    <row r="288" spans="1:4" x14ac:dyDescent="0.6">
      <c r="A288" t="s">
        <v>55</v>
      </c>
      <c r="B288" t="s">
        <v>119</v>
      </c>
      <c r="C288" t="s">
        <v>6</v>
      </c>
      <c r="D288" t="s">
        <v>99</v>
      </c>
    </row>
    <row r="289" spans="1:5" x14ac:dyDescent="0.6">
      <c r="A289" t="s">
        <v>55</v>
      </c>
      <c r="B289" t="s">
        <v>119</v>
      </c>
      <c r="C289" t="s">
        <v>6</v>
      </c>
      <c r="D289" t="s">
        <v>98</v>
      </c>
    </row>
    <row r="290" spans="1:5" x14ac:dyDescent="0.6">
      <c r="A290" t="s">
        <v>55</v>
      </c>
      <c r="B290" t="s">
        <v>119</v>
      </c>
      <c r="C290" t="s">
        <v>6</v>
      </c>
      <c r="D290" t="s">
        <v>97</v>
      </c>
    </row>
    <row r="291" spans="1:5" x14ac:dyDescent="0.6">
      <c r="A291" t="s">
        <v>55</v>
      </c>
      <c r="B291" t="s">
        <v>119</v>
      </c>
      <c r="C291" t="s">
        <v>6</v>
      </c>
      <c r="D291" t="s">
        <v>96</v>
      </c>
    </row>
    <row r="292" spans="1:5" x14ac:dyDescent="0.6">
      <c r="A292" t="s">
        <v>55</v>
      </c>
      <c r="B292" t="s">
        <v>119</v>
      </c>
      <c r="C292" t="s">
        <v>3</v>
      </c>
      <c r="D292" t="s">
        <v>100</v>
      </c>
    </row>
    <row r="293" spans="1:5" x14ac:dyDescent="0.6">
      <c r="A293" t="s">
        <v>55</v>
      </c>
      <c r="B293" t="s">
        <v>119</v>
      </c>
      <c r="C293" t="s">
        <v>3</v>
      </c>
      <c r="D293" t="s">
        <v>99</v>
      </c>
      <c r="E293">
        <v>4315</v>
      </c>
    </row>
    <row r="294" spans="1:5" x14ac:dyDescent="0.6">
      <c r="A294" t="s">
        <v>55</v>
      </c>
      <c r="B294" t="s">
        <v>119</v>
      </c>
      <c r="C294" t="s">
        <v>3</v>
      </c>
      <c r="D294" t="s">
        <v>98</v>
      </c>
    </row>
    <row r="295" spans="1:5" x14ac:dyDescent="0.6">
      <c r="A295" t="s">
        <v>55</v>
      </c>
      <c r="B295" t="s">
        <v>119</v>
      </c>
      <c r="C295" t="s">
        <v>3</v>
      </c>
      <c r="D295" t="s">
        <v>97</v>
      </c>
    </row>
    <row r="296" spans="1:5" x14ac:dyDescent="0.6">
      <c r="A296" t="s">
        <v>55</v>
      </c>
      <c r="B296" t="s">
        <v>119</v>
      </c>
      <c r="C296" t="s">
        <v>3</v>
      </c>
      <c r="D296" t="s">
        <v>96</v>
      </c>
    </row>
    <row r="297" spans="1:5" x14ac:dyDescent="0.6">
      <c r="A297" t="s">
        <v>55</v>
      </c>
      <c r="B297" t="s">
        <v>119</v>
      </c>
      <c r="C297" t="s">
        <v>2</v>
      </c>
      <c r="D297" t="s">
        <v>100</v>
      </c>
    </row>
    <row r="298" spans="1:5" x14ac:dyDescent="0.6">
      <c r="A298" t="s">
        <v>55</v>
      </c>
      <c r="B298" t="s">
        <v>119</v>
      </c>
      <c r="C298" t="s">
        <v>2</v>
      </c>
      <c r="D298" t="s">
        <v>99</v>
      </c>
    </row>
    <row r="299" spans="1:5" x14ac:dyDescent="0.6">
      <c r="A299" t="s">
        <v>55</v>
      </c>
      <c r="B299" t="s">
        <v>119</v>
      </c>
      <c r="C299" t="s">
        <v>2</v>
      </c>
      <c r="D299" t="s">
        <v>98</v>
      </c>
    </row>
    <row r="300" spans="1:5" x14ac:dyDescent="0.6">
      <c r="A300" t="s">
        <v>55</v>
      </c>
      <c r="B300" t="s">
        <v>119</v>
      </c>
      <c r="C300" t="s">
        <v>2</v>
      </c>
      <c r="D300" t="s">
        <v>97</v>
      </c>
    </row>
    <row r="301" spans="1:5" x14ac:dyDescent="0.6">
      <c r="A301" t="s">
        <v>55</v>
      </c>
      <c r="B301" t="s">
        <v>119</v>
      </c>
      <c r="C301" t="s">
        <v>2</v>
      </c>
      <c r="D301" t="s">
        <v>96</v>
      </c>
    </row>
    <row r="302" spans="1:5" x14ac:dyDescent="0.6">
      <c r="A302" t="s">
        <v>55</v>
      </c>
      <c r="B302" t="s">
        <v>119</v>
      </c>
      <c r="C302" t="s">
        <v>82</v>
      </c>
      <c r="D302" t="s">
        <v>100</v>
      </c>
    </row>
    <row r="303" spans="1:5" x14ac:dyDescent="0.6">
      <c r="A303" t="s">
        <v>55</v>
      </c>
      <c r="B303" t="s">
        <v>119</v>
      </c>
      <c r="C303" t="s">
        <v>82</v>
      </c>
      <c r="D303" t="s">
        <v>99</v>
      </c>
    </row>
    <row r="304" spans="1:5" x14ac:dyDescent="0.6">
      <c r="A304" t="s">
        <v>55</v>
      </c>
      <c r="B304" t="s">
        <v>119</v>
      </c>
      <c r="C304" t="s">
        <v>82</v>
      </c>
      <c r="D304" t="s">
        <v>98</v>
      </c>
    </row>
    <row r="305" spans="1:5" x14ac:dyDescent="0.6">
      <c r="A305" t="s">
        <v>55</v>
      </c>
      <c r="B305" t="s">
        <v>119</v>
      </c>
      <c r="C305" t="s">
        <v>82</v>
      </c>
      <c r="D305" t="s">
        <v>97</v>
      </c>
    </row>
    <row r="306" spans="1:5" x14ac:dyDescent="0.6">
      <c r="A306" t="s">
        <v>55</v>
      </c>
      <c r="B306" t="s">
        <v>119</v>
      </c>
      <c r="C306" t="s">
        <v>82</v>
      </c>
      <c r="D306" t="s">
        <v>96</v>
      </c>
    </row>
    <row r="307" spans="1:5" x14ac:dyDescent="0.6">
      <c r="A307" t="s">
        <v>55</v>
      </c>
      <c r="B307" t="s">
        <v>119</v>
      </c>
      <c r="C307" t="s">
        <v>89</v>
      </c>
      <c r="D307" t="s">
        <v>100</v>
      </c>
      <c r="E307">
        <v>0</v>
      </c>
    </row>
    <row r="308" spans="1:5" x14ac:dyDescent="0.6">
      <c r="A308" t="s">
        <v>55</v>
      </c>
      <c r="B308" t="s">
        <v>119</v>
      </c>
      <c r="C308" t="s">
        <v>89</v>
      </c>
      <c r="D308" t="s">
        <v>99</v>
      </c>
      <c r="E308">
        <v>0</v>
      </c>
    </row>
    <row r="309" spans="1:5" x14ac:dyDescent="0.6">
      <c r="A309" t="s">
        <v>55</v>
      </c>
      <c r="B309" t="s">
        <v>119</v>
      </c>
      <c r="C309" t="s">
        <v>89</v>
      </c>
      <c r="D309" t="s">
        <v>98</v>
      </c>
      <c r="E309">
        <v>5422.6</v>
      </c>
    </row>
    <row r="310" spans="1:5" x14ac:dyDescent="0.6">
      <c r="A310" t="s">
        <v>55</v>
      </c>
      <c r="B310" t="s">
        <v>119</v>
      </c>
      <c r="C310" t="s">
        <v>89</v>
      </c>
      <c r="D310" t="s">
        <v>97</v>
      </c>
      <c r="E310">
        <v>317442.5</v>
      </c>
    </row>
    <row r="311" spans="1:5" x14ac:dyDescent="0.6">
      <c r="A311" t="s">
        <v>55</v>
      </c>
      <c r="B311" t="s">
        <v>119</v>
      </c>
      <c r="C311" t="s">
        <v>89</v>
      </c>
      <c r="D311" t="s">
        <v>96</v>
      </c>
      <c r="E311">
        <v>1084.9000000000001</v>
      </c>
    </row>
    <row r="312" spans="1:5" x14ac:dyDescent="0.6">
      <c r="A312" t="s">
        <v>55</v>
      </c>
      <c r="B312" t="s">
        <v>119</v>
      </c>
      <c r="C312" t="s">
        <v>1</v>
      </c>
      <c r="D312" t="s">
        <v>100</v>
      </c>
      <c r="E312">
        <v>0</v>
      </c>
    </row>
    <row r="313" spans="1:5" x14ac:dyDescent="0.6">
      <c r="A313" t="s">
        <v>55</v>
      </c>
      <c r="B313" t="s">
        <v>119</v>
      </c>
      <c r="C313" t="s">
        <v>1</v>
      </c>
      <c r="D313" t="s">
        <v>99</v>
      </c>
      <c r="E313">
        <v>0</v>
      </c>
    </row>
    <row r="314" spans="1:5" x14ac:dyDescent="0.6">
      <c r="A314" t="s">
        <v>55</v>
      </c>
      <c r="B314" t="s">
        <v>119</v>
      </c>
      <c r="C314" t="s">
        <v>1</v>
      </c>
      <c r="D314" t="s">
        <v>98</v>
      </c>
      <c r="E314">
        <v>16966.356</v>
      </c>
    </row>
    <row r="315" spans="1:5" x14ac:dyDescent="0.6">
      <c r="A315" t="s">
        <v>55</v>
      </c>
      <c r="B315" t="s">
        <v>119</v>
      </c>
      <c r="C315" t="s">
        <v>1</v>
      </c>
      <c r="D315" t="s">
        <v>97</v>
      </c>
      <c r="E315">
        <v>993138.07200000004</v>
      </c>
    </row>
    <row r="316" spans="1:5" x14ac:dyDescent="0.6">
      <c r="A316" t="s">
        <v>55</v>
      </c>
      <c r="B316" t="s">
        <v>119</v>
      </c>
      <c r="C316" t="s">
        <v>1</v>
      </c>
      <c r="D316" t="s">
        <v>96</v>
      </c>
      <c r="E316">
        <v>3392.8919999999998</v>
      </c>
    </row>
    <row r="317" spans="1:5" x14ac:dyDescent="0.6">
      <c r="A317" t="s">
        <v>55</v>
      </c>
      <c r="B317" t="s">
        <v>124</v>
      </c>
      <c r="C317" t="s">
        <v>7</v>
      </c>
      <c r="D317" t="s">
        <v>100</v>
      </c>
    </row>
    <row r="318" spans="1:5" x14ac:dyDescent="0.6">
      <c r="A318" t="s">
        <v>55</v>
      </c>
      <c r="B318" t="s">
        <v>124</v>
      </c>
      <c r="C318" t="s">
        <v>7</v>
      </c>
      <c r="D318" t="s">
        <v>99</v>
      </c>
    </row>
    <row r="319" spans="1:5" x14ac:dyDescent="0.6">
      <c r="A319" t="s">
        <v>55</v>
      </c>
      <c r="B319" t="s">
        <v>124</v>
      </c>
      <c r="C319" t="s">
        <v>7</v>
      </c>
      <c r="D319" t="s">
        <v>98</v>
      </c>
    </row>
    <row r="320" spans="1:5" x14ac:dyDescent="0.6">
      <c r="A320" t="s">
        <v>55</v>
      </c>
      <c r="B320" t="s">
        <v>124</v>
      </c>
      <c r="C320" t="s">
        <v>7</v>
      </c>
      <c r="D320" t="s">
        <v>97</v>
      </c>
    </row>
    <row r="321" spans="1:5" x14ac:dyDescent="0.6">
      <c r="A321" t="s">
        <v>55</v>
      </c>
      <c r="B321" t="s">
        <v>124</v>
      </c>
      <c r="C321" t="s">
        <v>7</v>
      </c>
      <c r="D321" t="s">
        <v>96</v>
      </c>
    </row>
    <row r="322" spans="1:5" x14ac:dyDescent="0.6">
      <c r="A322" t="s">
        <v>55</v>
      </c>
      <c r="B322" t="s">
        <v>124</v>
      </c>
      <c r="C322" t="s">
        <v>4</v>
      </c>
      <c r="D322" t="s">
        <v>100</v>
      </c>
    </row>
    <row r="323" spans="1:5" x14ac:dyDescent="0.6">
      <c r="A323" t="s">
        <v>55</v>
      </c>
      <c r="B323" t="s">
        <v>124</v>
      </c>
      <c r="C323" t="s">
        <v>4</v>
      </c>
      <c r="D323" t="s">
        <v>99</v>
      </c>
      <c r="E323">
        <v>142746</v>
      </c>
    </row>
    <row r="324" spans="1:5" x14ac:dyDescent="0.6">
      <c r="A324" t="s">
        <v>55</v>
      </c>
      <c r="B324" t="s">
        <v>124</v>
      </c>
      <c r="C324" t="s">
        <v>4</v>
      </c>
      <c r="D324" t="s">
        <v>98</v>
      </c>
      <c r="E324">
        <v>95164</v>
      </c>
    </row>
    <row r="325" spans="1:5" x14ac:dyDescent="0.6">
      <c r="A325" t="s">
        <v>55</v>
      </c>
      <c r="B325" t="s">
        <v>124</v>
      </c>
      <c r="C325" t="s">
        <v>4</v>
      </c>
      <c r="D325" t="s">
        <v>97</v>
      </c>
      <c r="E325">
        <v>4377530</v>
      </c>
    </row>
    <row r="326" spans="1:5" x14ac:dyDescent="0.6">
      <c r="A326" t="s">
        <v>55</v>
      </c>
      <c r="B326" t="s">
        <v>124</v>
      </c>
      <c r="C326" t="s">
        <v>4</v>
      </c>
      <c r="D326" t="s">
        <v>96</v>
      </c>
      <c r="E326">
        <v>142746</v>
      </c>
    </row>
    <row r="327" spans="1:5" x14ac:dyDescent="0.6">
      <c r="A327" t="s">
        <v>55</v>
      </c>
      <c r="B327" t="s">
        <v>124</v>
      </c>
      <c r="C327" t="s">
        <v>90</v>
      </c>
      <c r="D327" t="s">
        <v>100</v>
      </c>
    </row>
    <row r="328" spans="1:5" x14ac:dyDescent="0.6">
      <c r="A328" t="s">
        <v>55</v>
      </c>
      <c r="B328" t="s">
        <v>124</v>
      </c>
      <c r="C328" t="s">
        <v>90</v>
      </c>
      <c r="D328" t="s">
        <v>99</v>
      </c>
    </row>
    <row r="329" spans="1:5" x14ac:dyDescent="0.6">
      <c r="A329" t="s">
        <v>55</v>
      </c>
      <c r="B329" t="s">
        <v>124</v>
      </c>
      <c r="C329" t="s">
        <v>90</v>
      </c>
      <c r="D329" t="s">
        <v>98</v>
      </c>
    </row>
    <row r="330" spans="1:5" x14ac:dyDescent="0.6">
      <c r="A330" t="s">
        <v>55</v>
      </c>
      <c r="B330" t="s">
        <v>124</v>
      </c>
      <c r="C330" t="s">
        <v>90</v>
      </c>
      <c r="D330" t="s">
        <v>97</v>
      </c>
    </row>
    <row r="331" spans="1:5" x14ac:dyDescent="0.6">
      <c r="A331" t="s">
        <v>55</v>
      </c>
      <c r="B331" t="s">
        <v>124</v>
      </c>
      <c r="C331" t="s">
        <v>90</v>
      </c>
      <c r="D331" t="s">
        <v>96</v>
      </c>
    </row>
    <row r="332" spans="1:5" x14ac:dyDescent="0.6">
      <c r="A332" t="s">
        <v>55</v>
      </c>
      <c r="B332" t="s">
        <v>124</v>
      </c>
      <c r="C332" t="s">
        <v>6</v>
      </c>
      <c r="D332" t="s">
        <v>100</v>
      </c>
    </row>
    <row r="333" spans="1:5" x14ac:dyDescent="0.6">
      <c r="A333" t="s">
        <v>55</v>
      </c>
      <c r="B333" t="s">
        <v>124</v>
      </c>
      <c r="C333" t="s">
        <v>6</v>
      </c>
      <c r="D333" t="s">
        <v>99</v>
      </c>
    </row>
    <row r="334" spans="1:5" x14ac:dyDescent="0.6">
      <c r="A334" t="s">
        <v>55</v>
      </c>
      <c r="B334" t="s">
        <v>124</v>
      </c>
      <c r="C334" t="s">
        <v>6</v>
      </c>
      <c r="D334" t="s">
        <v>98</v>
      </c>
    </row>
    <row r="335" spans="1:5" x14ac:dyDescent="0.6">
      <c r="A335" t="s">
        <v>55</v>
      </c>
      <c r="B335" t="s">
        <v>124</v>
      </c>
      <c r="C335" t="s">
        <v>6</v>
      </c>
      <c r="D335" t="s">
        <v>97</v>
      </c>
    </row>
    <row r="336" spans="1:5" x14ac:dyDescent="0.6">
      <c r="A336" t="s">
        <v>55</v>
      </c>
      <c r="B336" t="s">
        <v>124</v>
      </c>
      <c r="C336" t="s">
        <v>6</v>
      </c>
      <c r="D336" t="s">
        <v>96</v>
      </c>
    </row>
    <row r="337" spans="1:5" x14ac:dyDescent="0.6">
      <c r="A337" t="s">
        <v>55</v>
      </c>
      <c r="B337" t="s">
        <v>124</v>
      </c>
      <c r="C337" t="s">
        <v>3</v>
      </c>
      <c r="D337" t="s">
        <v>100</v>
      </c>
    </row>
    <row r="338" spans="1:5" x14ac:dyDescent="0.6">
      <c r="A338" t="s">
        <v>55</v>
      </c>
      <c r="B338" t="s">
        <v>124</v>
      </c>
      <c r="C338" t="s">
        <v>3</v>
      </c>
      <c r="D338" t="s">
        <v>99</v>
      </c>
      <c r="E338">
        <v>293317</v>
      </c>
    </row>
    <row r="339" spans="1:5" x14ac:dyDescent="0.6">
      <c r="A339" t="s">
        <v>55</v>
      </c>
      <c r="B339" t="s">
        <v>124</v>
      </c>
      <c r="C339" t="s">
        <v>3</v>
      </c>
      <c r="D339" t="s">
        <v>98</v>
      </c>
      <c r="E339">
        <v>146658</v>
      </c>
    </row>
    <row r="340" spans="1:5" x14ac:dyDescent="0.6">
      <c r="A340" t="s">
        <v>55</v>
      </c>
      <c r="B340" t="s">
        <v>124</v>
      </c>
      <c r="C340" t="s">
        <v>3</v>
      </c>
      <c r="D340" t="s">
        <v>97</v>
      </c>
    </row>
    <row r="341" spans="1:5" x14ac:dyDescent="0.6">
      <c r="A341" t="s">
        <v>55</v>
      </c>
      <c r="B341" t="s">
        <v>124</v>
      </c>
      <c r="C341" t="s">
        <v>3</v>
      </c>
      <c r="D341" t="s">
        <v>96</v>
      </c>
      <c r="E341">
        <v>146658</v>
      </c>
    </row>
    <row r="342" spans="1:5" x14ac:dyDescent="0.6">
      <c r="A342" t="s">
        <v>55</v>
      </c>
      <c r="B342" t="s">
        <v>124</v>
      </c>
      <c r="C342" t="s">
        <v>2</v>
      </c>
      <c r="D342" t="s">
        <v>100</v>
      </c>
    </row>
    <row r="343" spans="1:5" x14ac:dyDescent="0.6">
      <c r="A343" t="s">
        <v>55</v>
      </c>
      <c r="B343" t="s">
        <v>124</v>
      </c>
      <c r="C343" t="s">
        <v>2</v>
      </c>
      <c r="D343" t="s">
        <v>99</v>
      </c>
      <c r="E343">
        <v>404578</v>
      </c>
    </row>
    <row r="344" spans="1:5" x14ac:dyDescent="0.6">
      <c r="A344" t="s">
        <v>55</v>
      </c>
      <c r="B344" t="s">
        <v>124</v>
      </c>
      <c r="C344" t="s">
        <v>2</v>
      </c>
      <c r="D344" t="s">
        <v>98</v>
      </c>
      <c r="E344">
        <v>202289</v>
      </c>
    </row>
    <row r="345" spans="1:5" x14ac:dyDescent="0.6">
      <c r="A345" t="s">
        <v>55</v>
      </c>
      <c r="B345" t="s">
        <v>124</v>
      </c>
      <c r="C345" t="s">
        <v>2</v>
      </c>
      <c r="D345" t="s">
        <v>97</v>
      </c>
    </row>
    <row r="346" spans="1:5" x14ac:dyDescent="0.6">
      <c r="A346" t="s">
        <v>55</v>
      </c>
      <c r="B346" t="s">
        <v>124</v>
      </c>
      <c r="C346" t="s">
        <v>2</v>
      </c>
      <c r="D346" t="s">
        <v>96</v>
      </c>
      <c r="E346">
        <v>202289</v>
      </c>
    </row>
    <row r="347" spans="1:5" x14ac:dyDescent="0.6">
      <c r="A347" t="s">
        <v>55</v>
      </c>
      <c r="B347" t="s">
        <v>124</v>
      </c>
      <c r="C347" t="s">
        <v>82</v>
      </c>
      <c r="D347" t="s">
        <v>100</v>
      </c>
    </row>
    <row r="348" spans="1:5" x14ac:dyDescent="0.6">
      <c r="A348" t="s">
        <v>55</v>
      </c>
      <c r="B348" t="s">
        <v>124</v>
      </c>
      <c r="C348" t="s">
        <v>82</v>
      </c>
      <c r="D348" t="s">
        <v>99</v>
      </c>
    </row>
    <row r="349" spans="1:5" x14ac:dyDescent="0.6">
      <c r="A349" t="s">
        <v>55</v>
      </c>
      <c r="B349" t="s">
        <v>124</v>
      </c>
      <c r="C349" t="s">
        <v>82</v>
      </c>
      <c r="D349" t="s">
        <v>98</v>
      </c>
    </row>
    <row r="350" spans="1:5" x14ac:dyDescent="0.6">
      <c r="A350" t="s">
        <v>55</v>
      </c>
      <c r="B350" t="s">
        <v>124</v>
      </c>
      <c r="C350" t="s">
        <v>82</v>
      </c>
      <c r="D350" t="s">
        <v>97</v>
      </c>
    </row>
    <row r="351" spans="1:5" x14ac:dyDescent="0.6">
      <c r="A351" t="s">
        <v>55</v>
      </c>
      <c r="B351" t="s">
        <v>124</v>
      </c>
      <c r="C351" t="s">
        <v>82</v>
      </c>
      <c r="D351" t="s">
        <v>96</v>
      </c>
    </row>
    <row r="352" spans="1:5" x14ac:dyDescent="0.6">
      <c r="A352" t="s">
        <v>55</v>
      </c>
      <c r="B352" t="s">
        <v>124</v>
      </c>
      <c r="C352" t="s">
        <v>89</v>
      </c>
      <c r="D352" t="s">
        <v>100</v>
      </c>
      <c r="E352">
        <v>50142.9</v>
      </c>
    </row>
    <row r="353" spans="1:5" x14ac:dyDescent="0.6">
      <c r="A353" t="s">
        <v>55</v>
      </c>
      <c r="B353" t="s">
        <v>124</v>
      </c>
      <c r="C353" t="s">
        <v>89</v>
      </c>
      <c r="D353" t="s">
        <v>99</v>
      </c>
      <c r="E353">
        <v>75142.899999999994</v>
      </c>
    </row>
    <row r="354" spans="1:5" x14ac:dyDescent="0.6">
      <c r="A354" t="s">
        <v>55</v>
      </c>
      <c r="B354" t="s">
        <v>124</v>
      </c>
      <c r="C354" t="s">
        <v>89</v>
      </c>
      <c r="D354" t="s">
        <v>98</v>
      </c>
      <c r="E354">
        <v>125284.85</v>
      </c>
    </row>
    <row r="355" spans="1:5" x14ac:dyDescent="0.6">
      <c r="A355" t="s">
        <v>55</v>
      </c>
      <c r="B355" t="s">
        <v>124</v>
      </c>
      <c r="C355" t="s">
        <v>89</v>
      </c>
      <c r="D355" t="s">
        <v>97</v>
      </c>
      <c r="E355">
        <v>0</v>
      </c>
    </row>
    <row r="356" spans="1:5" x14ac:dyDescent="0.6">
      <c r="A356" t="s">
        <v>55</v>
      </c>
      <c r="B356" t="s">
        <v>124</v>
      </c>
      <c r="C356" t="s">
        <v>89</v>
      </c>
      <c r="D356" t="s">
        <v>96</v>
      </c>
      <c r="E356">
        <v>852279.75</v>
      </c>
    </row>
    <row r="357" spans="1:5" x14ac:dyDescent="0.6">
      <c r="A357" t="s">
        <v>55</v>
      </c>
      <c r="B357" t="s">
        <v>124</v>
      </c>
      <c r="C357" t="s">
        <v>1</v>
      </c>
      <c r="D357" t="s">
        <v>100</v>
      </c>
      <c r="E357">
        <v>0</v>
      </c>
    </row>
    <row r="358" spans="1:5" x14ac:dyDescent="0.6">
      <c r="A358" t="s">
        <v>55</v>
      </c>
      <c r="B358" t="s">
        <v>124</v>
      </c>
      <c r="C358" t="s">
        <v>1</v>
      </c>
      <c r="D358" t="s">
        <v>99</v>
      </c>
      <c r="E358">
        <v>0</v>
      </c>
    </row>
    <row r="359" spans="1:5" x14ac:dyDescent="0.6">
      <c r="A359" t="s">
        <v>55</v>
      </c>
      <c r="B359" t="s">
        <v>124</v>
      </c>
      <c r="C359" t="s">
        <v>1</v>
      </c>
      <c r="D359" t="s">
        <v>98</v>
      </c>
      <c r="E359">
        <v>0</v>
      </c>
    </row>
    <row r="360" spans="1:5" x14ac:dyDescent="0.6">
      <c r="A360" t="s">
        <v>55</v>
      </c>
      <c r="B360" t="s">
        <v>124</v>
      </c>
      <c r="C360" t="s">
        <v>1</v>
      </c>
      <c r="D360" t="s">
        <v>97</v>
      </c>
      <c r="E360">
        <v>0</v>
      </c>
    </row>
    <row r="361" spans="1:5" x14ac:dyDescent="0.6">
      <c r="A361" t="s">
        <v>55</v>
      </c>
      <c r="B361" t="s">
        <v>124</v>
      </c>
      <c r="C361" t="s">
        <v>1</v>
      </c>
      <c r="D361" t="s">
        <v>96</v>
      </c>
      <c r="E361">
        <v>0</v>
      </c>
    </row>
    <row r="362" spans="1:5" ht="91" x14ac:dyDescent="0.6">
      <c r="A362" t="s">
        <v>55</v>
      </c>
      <c r="B362" t="s">
        <v>125</v>
      </c>
      <c r="C362" s="148" t="s">
        <v>106</v>
      </c>
      <c r="D362" t="s">
        <v>111</v>
      </c>
    </row>
    <row r="363" spans="1:5" ht="39" x14ac:dyDescent="0.6">
      <c r="A363" t="s">
        <v>55</v>
      </c>
      <c r="B363" t="s">
        <v>125</v>
      </c>
      <c r="C363" s="148" t="s">
        <v>103</v>
      </c>
      <c r="D363" t="s">
        <v>112</v>
      </c>
      <c r="E363">
        <v>4871.8562000000002</v>
      </c>
    </row>
    <row r="364" spans="1:5" x14ac:dyDescent="0.6">
      <c r="A364" t="s">
        <v>55</v>
      </c>
      <c r="B364" t="s">
        <v>125</v>
      </c>
      <c r="C364" t="s">
        <v>104</v>
      </c>
      <c r="D364" t="s">
        <v>111</v>
      </c>
      <c r="E364">
        <v>49250</v>
      </c>
    </row>
    <row r="365" spans="1:5" x14ac:dyDescent="0.6">
      <c r="A365" t="s">
        <v>55</v>
      </c>
      <c r="B365" t="s">
        <v>125</v>
      </c>
      <c r="C365" t="s">
        <v>104</v>
      </c>
      <c r="D365" t="s">
        <v>112</v>
      </c>
      <c r="E365">
        <v>56257</v>
      </c>
    </row>
    <row r="366" spans="1:5" ht="91" x14ac:dyDescent="0.6">
      <c r="A366" t="s">
        <v>55</v>
      </c>
      <c r="B366" t="s">
        <v>120</v>
      </c>
      <c r="C366" s="148" t="s">
        <v>106</v>
      </c>
      <c r="D366" t="s">
        <v>111</v>
      </c>
    </row>
    <row r="367" spans="1:5" ht="39" x14ac:dyDescent="0.6">
      <c r="A367" t="s">
        <v>55</v>
      </c>
      <c r="B367" t="s">
        <v>120</v>
      </c>
      <c r="C367" s="148" t="s">
        <v>103</v>
      </c>
      <c r="D367" t="s">
        <v>112</v>
      </c>
      <c r="E367">
        <v>0</v>
      </c>
    </row>
    <row r="368" spans="1:5" x14ac:dyDescent="0.6">
      <c r="A368" t="s">
        <v>55</v>
      </c>
      <c r="B368" t="s">
        <v>120</v>
      </c>
      <c r="C368" t="s">
        <v>104</v>
      </c>
      <c r="D368" t="s">
        <v>111</v>
      </c>
      <c r="E368">
        <v>49250</v>
      </c>
    </row>
    <row r="369" spans="1:5" x14ac:dyDescent="0.6">
      <c r="A369" t="s">
        <v>55</v>
      </c>
      <c r="B369" t="s">
        <v>120</v>
      </c>
      <c r="C369" t="s">
        <v>104</v>
      </c>
      <c r="D369" t="s">
        <v>112</v>
      </c>
      <c r="E369">
        <v>0</v>
      </c>
    </row>
    <row r="370" spans="1:5" ht="91" x14ac:dyDescent="0.6">
      <c r="A370" t="s">
        <v>55</v>
      </c>
      <c r="B370" t="s">
        <v>126</v>
      </c>
      <c r="C370" s="148" t="s">
        <v>106</v>
      </c>
      <c r="D370" t="s">
        <v>111</v>
      </c>
    </row>
    <row r="371" spans="1:5" ht="39" x14ac:dyDescent="0.6">
      <c r="A371" t="s">
        <v>55</v>
      </c>
      <c r="B371" t="s">
        <v>126</v>
      </c>
      <c r="C371" s="148" t="s">
        <v>103</v>
      </c>
      <c r="D371" t="s">
        <v>112</v>
      </c>
      <c r="E371">
        <v>13845.402</v>
      </c>
    </row>
    <row r="372" spans="1:5" x14ac:dyDescent="0.6">
      <c r="A372" t="s">
        <v>55</v>
      </c>
      <c r="B372" t="s">
        <v>126</v>
      </c>
      <c r="C372" t="s">
        <v>104</v>
      </c>
      <c r="D372" t="s">
        <v>111</v>
      </c>
      <c r="E372">
        <v>216700</v>
      </c>
    </row>
    <row r="373" spans="1:5" x14ac:dyDescent="0.6">
      <c r="A373" t="s">
        <v>55</v>
      </c>
      <c r="B373" t="s">
        <v>126</v>
      </c>
      <c r="C373" t="s">
        <v>104</v>
      </c>
      <c r="D373" t="s">
        <v>112</v>
      </c>
      <c r="E373">
        <v>334430</v>
      </c>
    </row>
    <row r="374" spans="1:5" ht="91" x14ac:dyDescent="0.6">
      <c r="A374" t="s">
        <v>55</v>
      </c>
      <c r="B374" t="s">
        <v>122</v>
      </c>
      <c r="C374" s="148" t="s">
        <v>106</v>
      </c>
      <c r="D374" t="s">
        <v>111</v>
      </c>
    </row>
    <row r="375" spans="1:5" ht="39" x14ac:dyDescent="0.6">
      <c r="A375" t="s">
        <v>55</v>
      </c>
      <c r="B375" t="s">
        <v>122</v>
      </c>
      <c r="C375" s="148" t="s">
        <v>103</v>
      </c>
      <c r="D375" t="s">
        <v>112</v>
      </c>
      <c r="E375">
        <v>95413.593599999993</v>
      </c>
    </row>
    <row r="376" spans="1:5" x14ac:dyDescent="0.6">
      <c r="A376" t="s">
        <v>55</v>
      </c>
      <c r="B376" t="s">
        <v>122</v>
      </c>
      <c r="C376" t="s">
        <v>104</v>
      </c>
      <c r="D376" t="s">
        <v>111</v>
      </c>
      <c r="E376">
        <v>920975</v>
      </c>
    </row>
    <row r="377" spans="1:5" x14ac:dyDescent="0.6">
      <c r="A377" t="s">
        <v>55</v>
      </c>
      <c r="B377" t="s">
        <v>122</v>
      </c>
      <c r="C377" t="s">
        <v>104</v>
      </c>
      <c r="D377" t="s">
        <v>112</v>
      </c>
      <c r="E377">
        <v>2293596</v>
      </c>
    </row>
    <row r="378" spans="1:5" ht="91" x14ac:dyDescent="0.6">
      <c r="A378" t="s">
        <v>55</v>
      </c>
      <c r="B378" t="s">
        <v>121</v>
      </c>
      <c r="C378" s="148" t="s">
        <v>106</v>
      </c>
      <c r="D378" t="s">
        <v>111</v>
      </c>
    </row>
    <row r="379" spans="1:5" ht="39" x14ac:dyDescent="0.6">
      <c r="A379" t="s">
        <v>55</v>
      </c>
      <c r="B379" t="s">
        <v>121</v>
      </c>
      <c r="C379" s="148" t="s">
        <v>103</v>
      </c>
      <c r="D379" t="s">
        <v>112</v>
      </c>
      <c r="E379">
        <v>1282.48</v>
      </c>
    </row>
    <row r="380" spans="1:5" x14ac:dyDescent="0.6">
      <c r="A380" t="s">
        <v>55</v>
      </c>
      <c r="B380" t="s">
        <v>121</v>
      </c>
      <c r="C380" t="s">
        <v>104</v>
      </c>
      <c r="D380" t="s">
        <v>111</v>
      </c>
      <c r="E380">
        <v>54175</v>
      </c>
    </row>
    <row r="381" spans="1:5" x14ac:dyDescent="0.6">
      <c r="A381" t="s">
        <v>55</v>
      </c>
      <c r="B381" t="s">
        <v>121</v>
      </c>
      <c r="C381" t="s">
        <v>104</v>
      </c>
      <c r="D381" t="s">
        <v>112</v>
      </c>
      <c r="E381">
        <v>23575</v>
      </c>
    </row>
    <row r="382" spans="1:5" ht="91" x14ac:dyDescent="0.6">
      <c r="A382" t="s">
        <v>55</v>
      </c>
      <c r="B382" t="s">
        <v>123</v>
      </c>
      <c r="C382" s="148" t="s">
        <v>106</v>
      </c>
      <c r="D382" t="s">
        <v>111</v>
      </c>
    </row>
    <row r="383" spans="1:5" ht="39" x14ac:dyDescent="0.6">
      <c r="A383" t="s">
        <v>55</v>
      </c>
      <c r="B383" t="s">
        <v>123</v>
      </c>
      <c r="C383" s="148" t="s">
        <v>103</v>
      </c>
      <c r="D383" t="s">
        <v>112</v>
      </c>
      <c r="E383">
        <v>41754</v>
      </c>
    </row>
    <row r="384" spans="1:5" x14ac:dyDescent="0.6">
      <c r="A384" t="s">
        <v>55</v>
      </c>
      <c r="B384" t="s">
        <v>123</v>
      </c>
      <c r="C384" t="s">
        <v>104</v>
      </c>
      <c r="D384" t="s">
        <v>111</v>
      </c>
      <c r="E384">
        <v>384150</v>
      </c>
    </row>
    <row r="385" spans="1:5" x14ac:dyDescent="0.6">
      <c r="A385" t="s">
        <v>55</v>
      </c>
      <c r="B385" t="s">
        <v>123</v>
      </c>
      <c r="C385" t="s">
        <v>104</v>
      </c>
      <c r="D385" t="s">
        <v>112</v>
      </c>
      <c r="E385">
        <v>951106</v>
      </c>
    </row>
    <row r="386" spans="1:5" ht="91" x14ac:dyDescent="0.6">
      <c r="A386" t="s">
        <v>55</v>
      </c>
      <c r="B386" t="s">
        <v>119</v>
      </c>
      <c r="C386" s="148" t="s">
        <v>106</v>
      </c>
      <c r="D386" t="s">
        <v>111</v>
      </c>
    </row>
    <row r="387" spans="1:5" ht="39" x14ac:dyDescent="0.6">
      <c r="A387" t="s">
        <v>55</v>
      </c>
      <c r="B387" t="s">
        <v>119</v>
      </c>
      <c r="C387" s="148" t="s">
        <v>103</v>
      </c>
      <c r="D387" t="s">
        <v>112</v>
      </c>
      <c r="E387">
        <v>55592.68</v>
      </c>
    </row>
    <row r="388" spans="1:5" x14ac:dyDescent="0.6">
      <c r="A388" t="s">
        <v>55</v>
      </c>
      <c r="B388" t="s">
        <v>119</v>
      </c>
      <c r="C388" t="s">
        <v>104</v>
      </c>
      <c r="D388" t="s">
        <v>111</v>
      </c>
      <c r="E388">
        <v>341000</v>
      </c>
    </row>
    <row r="389" spans="1:5" x14ac:dyDescent="0.6">
      <c r="A389" t="s">
        <v>55</v>
      </c>
      <c r="B389" t="s">
        <v>119</v>
      </c>
      <c r="C389" t="s">
        <v>104</v>
      </c>
      <c r="D389" t="s">
        <v>112</v>
      </c>
      <c r="E389">
        <v>1069090</v>
      </c>
    </row>
    <row r="390" spans="1:5" ht="91" x14ac:dyDescent="0.6">
      <c r="A390" t="s">
        <v>55</v>
      </c>
      <c r="B390" t="s">
        <v>124</v>
      </c>
      <c r="C390" s="148" t="s">
        <v>106</v>
      </c>
      <c r="D390" t="s">
        <v>111</v>
      </c>
    </row>
    <row r="391" spans="1:5" ht="39" x14ac:dyDescent="0.6">
      <c r="A391" t="s">
        <v>55</v>
      </c>
      <c r="B391" t="s">
        <v>124</v>
      </c>
      <c r="C391" s="148" t="s">
        <v>103</v>
      </c>
      <c r="D391" t="s">
        <v>112</v>
      </c>
      <c r="E391">
        <v>0</v>
      </c>
    </row>
    <row r="392" spans="1:5" x14ac:dyDescent="0.6">
      <c r="A392" t="s">
        <v>55</v>
      </c>
      <c r="B392" t="s">
        <v>124</v>
      </c>
      <c r="C392" t="s">
        <v>104</v>
      </c>
      <c r="D392" t="s">
        <v>111</v>
      </c>
      <c r="E392">
        <v>1155631</v>
      </c>
    </row>
    <row r="393" spans="1:5" x14ac:dyDescent="0.6">
      <c r="A393" t="s">
        <v>55</v>
      </c>
      <c r="B393" t="s">
        <v>124</v>
      </c>
      <c r="C393" t="s">
        <v>104</v>
      </c>
      <c r="D393" t="s">
        <v>112</v>
      </c>
      <c r="E393">
        <v>0</v>
      </c>
    </row>
    <row r="394" spans="1:5" x14ac:dyDescent="0.6">
      <c r="A394" t="s">
        <v>55</v>
      </c>
      <c r="B394" t="s">
        <v>120</v>
      </c>
      <c r="C394" t="s">
        <v>7</v>
      </c>
    </row>
    <row r="395" spans="1:5" x14ac:dyDescent="0.6">
      <c r="A395" t="s">
        <v>55</v>
      </c>
      <c r="B395" t="s">
        <v>120</v>
      </c>
      <c r="C395" t="s">
        <v>7</v>
      </c>
      <c r="D395" t="s">
        <v>116</v>
      </c>
      <c r="E395">
        <v>60508</v>
      </c>
    </row>
    <row r="396" spans="1:5" x14ac:dyDescent="0.6">
      <c r="A396" t="s">
        <v>55</v>
      </c>
      <c r="B396" t="s">
        <v>120</v>
      </c>
      <c r="C396" t="s">
        <v>7</v>
      </c>
      <c r="D396" t="s">
        <v>115</v>
      </c>
    </row>
    <row r="397" spans="1:5" x14ac:dyDescent="0.6">
      <c r="A397" t="s">
        <v>55</v>
      </c>
      <c r="B397" t="s">
        <v>120</v>
      </c>
      <c r="C397" t="s">
        <v>7</v>
      </c>
      <c r="D397" t="s">
        <v>114</v>
      </c>
    </row>
    <row r="398" spans="1:5" x14ac:dyDescent="0.6">
      <c r="A398" t="s">
        <v>55</v>
      </c>
      <c r="B398" t="s">
        <v>120</v>
      </c>
      <c r="C398" t="s">
        <v>7</v>
      </c>
      <c r="D398" t="s">
        <v>113</v>
      </c>
    </row>
    <row r="399" spans="1:5" x14ac:dyDescent="0.6">
      <c r="A399" t="s">
        <v>55</v>
      </c>
      <c r="B399" t="s">
        <v>120</v>
      </c>
      <c r="C399" t="s">
        <v>7</v>
      </c>
      <c r="D399" t="s">
        <v>95</v>
      </c>
    </row>
    <row r="400" spans="1:5" x14ac:dyDescent="0.6">
      <c r="A400" t="s">
        <v>55</v>
      </c>
      <c r="B400" t="s">
        <v>120</v>
      </c>
      <c r="C400" t="s">
        <v>7</v>
      </c>
      <c r="D400" t="s">
        <v>92</v>
      </c>
      <c r="E400">
        <v>181523</v>
      </c>
    </row>
    <row r="401" spans="1:4" x14ac:dyDescent="0.6">
      <c r="A401" t="s">
        <v>55</v>
      </c>
      <c r="B401" t="s">
        <v>120</v>
      </c>
      <c r="C401" t="s">
        <v>4</v>
      </c>
      <c r="D401" t="s">
        <v>117</v>
      </c>
    </row>
    <row r="402" spans="1:4" x14ac:dyDescent="0.6">
      <c r="A402" t="s">
        <v>55</v>
      </c>
      <c r="B402" t="s">
        <v>120</v>
      </c>
      <c r="C402" t="s">
        <v>4</v>
      </c>
      <c r="D402" t="s">
        <v>116</v>
      </c>
    </row>
    <row r="403" spans="1:4" x14ac:dyDescent="0.6">
      <c r="A403" t="s">
        <v>55</v>
      </c>
      <c r="B403" t="s">
        <v>120</v>
      </c>
      <c r="C403" t="s">
        <v>4</v>
      </c>
      <c r="D403" t="s">
        <v>115</v>
      </c>
    </row>
    <row r="404" spans="1:4" x14ac:dyDescent="0.6">
      <c r="A404" t="s">
        <v>55</v>
      </c>
      <c r="B404" t="s">
        <v>120</v>
      </c>
      <c r="C404" t="s">
        <v>4</v>
      </c>
      <c r="D404" t="s">
        <v>114</v>
      </c>
    </row>
    <row r="405" spans="1:4" x14ac:dyDescent="0.6">
      <c r="A405" t="s">
        <v>55</v>
      </c>
      <c r="B405" t="s">
        <v>120</v>
      </c>
      <c r="C405" t="s">
        <v>4</v>
      </c>
      <c r="D405" t="s">
        <v>113</v>
      </c>
    </row>
    <row r="406" spans="1:4" x14ac:dyDescent="0.6">
      <c r="A406" t="s">
        <v>55</v>
      </c>
      <c r="B406" t="s">
        <v>120</v>
      </c>
      <c r="C406" t="s">
        <v>4</v>
      </c>
      <c r="D406" t="s">
        <v>95</v>
      </c>
    </row>
    <row r="407" spans="1:4" x14ac:dyDescent="0.6">
      <c r="A407" t="s">
        <v>55</v>
      </c>
      <c r="B407" t="s">
        <v>120</v>
      </c>
      <c r="C407" t="s">
        <v>4</v>
      </c>
      <c r="D407" t="s">
        <v>92</v>
      </c>
    </row>
    <row r="408" spans="1:4" x14ac:dyDescent="0.6">
      <c r="A408" t="s">
        <v>55</v>
      </c>
      <c r="B408" t="s">
        <v>120</v>
      </c>
      <c r="C408" t="s">
        <v>90</v>
      </c>
      <c r="D408" t="s">
        <v>117</v>
      </c>
    </row>
    <row r="409" spans="1:4" x14ac:dyDescent="0.6">
      <c r="A409" t="s">
        <v>55</v>
      </c>
      <c r="B409" t="s">
        <v>120</v>
      </c>
      <c r="C409" t="s">
        <v>90</v>
      </c>
      <c r="D409" t="s">
        <v>116</v>
      </c>
    </row>
    <row r="410" spans="1:4" x14ac:dyDescent="0.6">
      <c r="A410" t="s">
        <v>55</v>
      </c>
      <c r="B410" t="s">
        <v>120</v>
      </c>
      <c r="C410" t="s">
        <v>90</v>
      </c>
      <c r="D410" t="s">
        <v>115</v>
      </c>
    </row>
    <row r="411" spans="1:4" x14ac:dyDescent="0.6">
      <c r="A411" t="s">
        <v>55</v>
      </c>
      <c r="B411" t="s">
        <v>120</v>
      </c>
      <c r="C411" t="s">
        <v>90</v>
      </c>
      <c r="D411" t="s">
        <v>114</v>
      </c>
    </row>
    <row r="412" spans="1:4" x14ac:dyDescent="0.6">
      <c r="A412" t="s">
        <v>55</v>
      </c>
      <c r="B412" t="s">
        <v>120</v>
      </c>
      <c r="C412" t="s">
        <v>90</v>
      </c>
      <c r="D412" t="s">
        <v>113</v>
      </c>
    </row>
    <row r="413" spans="1:4" x14ac:dyDescent="0.6">
      <c r="A413" t="s">
        <v>55</v>
      </c>
      <c r="B413" t="s">
        <v>120</v>
      </c>
      <c r="C413" t="s">
        <v>90</v>
      </c>
      <c r="D413" t="s">
        <v>95</v>
      </c>
    </row>
    <row r="414" spans="1:4" x14ac:dyDescent="0.6">
      <c r="A414" t="s">
        <v>55</v>
      </c>
      <c r="B414" t="s">
        <v>120</v>
      </c>
      <c r="C414" t="s">
        <v>90</v>
      </c>
      <c r="D414" t="s">
        <v>92</v>
      </c>
    </row>
    <row r="415" spans="1:4" x14ac:dyDescent="0.6">
      <c r="A415" t="s">
        <v>55</v>
      </c>
      <c r="B415" t="s">
        <v>120</v>
      </c>
      <c r="C415" t="s">
        <v>6</v>
      </c>
      <c r="D415" t="s">
        <v>117</v>
      </c>
    </row>
    <row r="416" spans="1:4" x14ac:dyDescent="0.6">
      <c r="A416" t="s">
        <v>55</v>
      </c>
      <c r="B416" t="s">
        <v>120</v>
      </c>
      <c r="C416" t="s">
        <v>6</v>
      </c>
      <c r="D416" t="s">
        <v>116</v>
      </c>
    </row>
    <row r="417" spans="1:5" x14ac:dyDescent="0.6">
      <c r="A417" t="s">
        <v>55</v>
      </c>
      <c r="B417" t="s">
        <v>120</v>
      </c>
      <c r="C417" t="s">
        <v>6</v>
      </c>
      <c r="D417" t="s">
        <v>115</v>
      </c>
    </row>
    <row r="418" spans="1:5" x14ac:dyDescent="0.6">
      <c r="A418" t="s">
        <v>55</v>
      </c>
      <c r="B418" t="s">
        <v>120</v>
      </c>
      <c r="C418" t="s">
        <v>6</v>
      </c>
      <c r="D418" t="s">
        <v>114</v>
      </c>
    </row>
    <row r="419" spans="1:5" x14ac:dyDescent="0.6">
      <c r="A419" t="s">
        <v>55</v>
      </c>
      <c r="B419" t="s">
        <v>120</v>
      </c>
      <c r="C419" t="s">
        <v>6</v>
      </c>
      <c r="D419" t="s">
        <v>113</v>
      </c>
    </row>
    <row r="420" spans="1:5" x14ac:dyDescent="0.6">
      <c r="A420" t="s">
        <v>55</v>
      </c>
      <c r="B420" t="s">
        <v>120</v>
      </c>
      <c r="C420" t="s">
        <v>6</v>
      </c>
      <c r="D420" t="s">
        <v>95</v>
      </c>
    </row>
    <row r="421" spans="1:5" x14ac:dyDescent="0.6">
      <c r="A421" t="s">
        <v>55</v>
      </c>
      <c r="B421" t="s">
        <v>120</v>
      </c>
      <c r="C421" t="s">
        <v>6</v>
      </c>
      <c r="D421" t="s">
        <v>92</v>
      </c>
    </row>
    <row r="422" spans="1:5" x14ac:dyDescent="0.6">
      <c r="A422" t="s">
        <v>55</v>
      </c>
      <c r="B422" t="s">
        <v>120</v>
      </c>
      <c r="C422" t="s">
        <v>3</v>
      </c>
      <c r="D422" t="s">
        <v>117</v>
      </c>
    </row>
    <row r="423" spans="1:5" x14ac:dyDescent="0.6">
      <c r="A423" t="s">
        <v>55</v>
      </c>
      <c r="B423" t="s">
        <v>120</v>
      </c>
      <c r="C423" t="s">
        <v>3</v>
      </c>
      <c r="D423" t="s">
        <v>116</v>
      </c>
      <c r="E423">
        <v>1424</v>
      </c>
    </row>
    <row r="424" spans="1:5" x14ac:dyDescent="0.6">
      <c r="A424" t="s">
        <v>55</v>
      </c>
      <c r="B424" t="s">
        <v>120</v>
      </c>
      <c r="C424" t="s">
        <v>3</v>
      </c>
      <c r="D424" t="s">
        <v>115</v>
      </c>
      <c r="E424">
        <v>598</v>
      </c>
    </row>
    <row r="425" spans="1:5" x14ac:dyDescent="0.6">
      <c r="A425" t="s">
        <v>55</v>
      </c>
      <c r="B425" t="s">
        <v>120</v>
      </c>
      <c r="C425" t="s">
        <v>3</v>
      </c>
      <c r="D425" t="s">
        <v>114</v>
      </c>
    </row>
    <row r="426" spans="1:5" x14ac:dyDescent="0.6">
      <c r="A426" t="s">
        <v>55</v>
      </c>
      <c r="B426" t="s">
        <v>120</v>
      </c>
      <c r="C426" t="s">
        <v>3</v>
      </c>
      <c r="D426" t="s">
        <v>113</v>
      </c>
    </row>
    <row r="427" spans="1:5" x14ac:dyDescent="0.6">
      <c r="A427" t="s">
        <v>55</v>
      </c>
      <c r="B427" t="s">
        <v>120</v>
      </c>
      <c r="C427" t="s">
        <v>3</v>
      </c>
      <c r="D427" t="s">
        <v>95</v>
      </c>
      <c r="E427">
        <v>15379</v>
      </c>
    </row>
    <row r="428" spans="1:5" x14ac:dyDescent="0.6">
      <c r="A428" t="s">
        <v>55</v>
      </c>
      <c r="B428" t="s">
        <v>120</v>
      </c>
      <c r="C428" t="s">
        <v>3</v>
      </c>
      <c r="D428" t="s">
        <v>92</v>
      </c>
      <c r="E428">
        <v>118299</v>
      </c>
    </row>
    <row r="429" spans="1:5" x14ac:dyDescent="0.6">
      <c r="A429" t="s">
        <v>55</v>
      </c>
      <c r="B429" t="s">
        <v>120</v>
      </c>
      <c r="C429" t="s">
        <v>2</v>
      </c>
      <c r="D429" t="s">
        <v>117</v>
      </c>
    </row>
    <row r="430" spans="1:5" x14ac:dyDescent="0.6">
      <c r="A430" t="s">
        <v>55</v>
      </c>
      <c r="B430" t="s">
        <v>120</v>
      </c>
      <c r="C430" t="s">
        <v>2</v>
      </c>
      <c r="D430" t="s">
        <v>116</v>
      </c>
      <c r="E430">
        <v>23070</v>
      </c>
    </row>
    <row r="431" spans="1:5" x14ac:dyDescent="0.6">
      <c r="A431" t="s">
        <v>55</v>
      </c>
      <c r="B431" t="s">
        <v>120</v>
      </c>
      <c r="C431" t="s">
        <v>2</v>
      </c>
      <c r="D431" t="s">
        <v>115</v>
      </c>
    </row>
    <row r="432" spans="1:5" x14ac:dyDescent="0.6">
      <c r="A432" t="s">
        <v>55</v>
      </c>
      <c r="B432" t="s">
        <v>120</v>
      </c>
      <c r="C432" t="s">
        <v>2</v>
      </c>
      <c r="D432" t="s">
        <v>114</v>
      </c>
    </row>
    <row r="433" spans="1:5" x14ac:dyDescent="0.6">
      <c r="A433" t="s">
        <v>55</v>
      </c>
      <c r="B433" t="s">
        <v>120</v>
      </c>
      <c r="C433" t="s">
        <v>2</v>
      </c>
      <c r="D433" t="s">
        <v>113</v>
      </c>
    </row>
    <row r="434" spans="1:5" x14ac:dyDescent="0.6">
      <c r="A434" t="s">
        <v>55</v>
      </c>
      <c r="B434" t="s">
        <v>120</v>
      </c>
      <c r="C434" t="s">
        <v>2</v>
      </c>
      <c r="D434" t="s">
        <v>95</v>
      </c>
      <c r="E434">
        <v>1357</v>
      </c>
    </row>
    <row r="435" spans="1:5" x14ac:dyDescent="0.6">
      <c r="A435" t="s">
        <v>55</v>
      </c>
      <c r="B435" t="s">
        <v>120</v>
      </c>
      <c r="C435" t="s">
        <v>2</v>
      </c>
      <c r="D435" t="s">
        <v>92</v>
      </c>
      <c r="E435">
        <v>2714</v>
      </c>
    </row>
    <row r="436" spans="1:5" x14ac:dyDescent="0.6">
      <c r="A436" t="s">
        <v>55</v>
      </c>
      <c r="B436" t="s">
        <v>120</v>
      </c>
      <c r="C436" t="s">
        <v>82</v>
      </c>
      <c r="D436" t="s">
        <v>117</v>
      </c>
    </row>
    <row r="437" spans="1:5" x14ac:dyDescent="0.6">
      <c r="A437" t="s">
        <v>55</v>
      </c>
      <c r="B437" t="s">
        <v>120</v>
      </c>
      <c r="C437" t="s">
        <v>82</v>
      </c>
      <c r="D437" t="s">
        <v>116</v>
      </c>
    </row>
    <row r="438" spans="1:5" x14ac:dyDescent="0.6">
      <c r="A438" t="s">
        <v>55</v>
      </c>
      <c r="B438" t="s">
        <v>120</v>
      </c>
      <c r="C438" t="s">
        <v>82</v>
      </c>
      <c r="D438" t="s">
        <v>115</v>
      </c>
    </row>
    <row r="439" spans="1:5" x14ac:dyDescent="0.6">
      <c r="A439" t="s">
        <v>55</v>
      </c>
      <c r="B439" t="s">
        <v>120</v>
      </c>
      <c r="C439" t="s">
        <v>82</v>
      </c>
      <c r="D439" t="s">
        <v>114</v>
      </c>
    </row>
    <row r="440" spans="1:5" x14ac:dyDescent="0.6">
      <c r="A440" t="s">
        <v>55</v>
      </c>
      <c r="B440" t="s">
        <v>120</v>
      </c>
      <c r="C440" t="s">
        <v>82</v>
      </c>
      <c r="D440" t="s">
        <v>113</v>
      </c>
    </row>
    <row r="441" spans="1:5" x14ac:dyDescent="0.6">
      <c r="A441" t="s">
        <v>55</v>
      </c>
      <c r="B441" t="s">
        <v>120</v>
      </c>
      <c r="C441" t="s">
        <v>82</v>
      </c>
      <c r="D441" t="s">
        <v>95</v>
      </c>
    </row>
    <row r="442" spans="1:5" x14ac:dyDescent="0.6">
      <c r="A442" t="s">
        <v>55</v>
      </c>
      <c r="B442" t="s">
        <v>120</v>
      </c>
      <c r="C442" t="s">
        <v>82</v>
      </c>
      <c r="D442" t="s">
        <v>92</v>
      </c>
    </row>
    <row r="443" spans="1:5" x14ac:dyDescent="0.6">
      <c r="A443" t="s">
        <v>55</v>
      </c>
      <c r="B443" t="s">
        <v>120</v>
      </c>
      <c r="C443" t="s">
        <v>89</v>
      </c>
      <c r="D443" t="s">
        <v>117</v>
      </c>
      <c r="E443">
        <v>0</v>
      </c>
    </row>
    <row r="444" spans="1:5" x14ac:dyDescent="0.6">
      <c r="A444" t="s">
        <v>55</v>
      </c>
      <c r="B444" t="s">
        <v>120</v>
      </c>
      <c r="C444" t="s">
        <v>89</v>
      </c>
      <c r="D444" t="s">
        <v>116</v>
      </c>
      <c r="E444">
        <v>29585.85</v>
      </c>
    </row>
    <row r="445" spans="1:5" x14ac:dyDescent="0.6">
      <c r="A445" t="s">
        <v>55</v>
      </c>
      <c r="B445" t="s">
        <v>120</v>
      </c>
      <c r="C445" t="s">
        <v>89</v>
      </c>
      <c r="D445" t="s">
        <v>115</v>
      </c>
      <c r="E445">
        <v>0</v>
      </c>
    </row>
    <row r="446" spans="1:5" x14ac:dyDescent="0.6">
      <c r="A446" t="s">
        <v>55</v>
      </c>
      <c r="B446" t="s">
        <v>120</v>
      </c>
      <c r="C446" t="s">
        <v>89</v>
      </c>
      <c r="D446" t="s">
        <v>114</v>
      </c>
      <c r="E446">
        <v>0</v>
      </c>
    </row>
    <row r="447" spans="1:5" x14ac:dyDescent="0.6">
      <c r="A447" t="s">
        <v>55</v>
      </c>
      <c r="B447" t="s">
        <v>120</v>
      </c>
      <c r="C447" t="s">
        <v>89</v>
      </c>
      <c r="D447" t="s">
        <v>113</v>
      </c>
      <c r="E447">
        <v>5734.2</v>
      </c>
    </row>
    <row r="448" spans="1:5" x14ac:dyDescent="0.6">
      <c r="A448" t="s">
        <v>55</v>
      </c>
      <c r="B448" t="s">
        <v>120</v>
      </c>
      <c r="C448" t="s">
        <v>89</v>
      </c>
      <c r="D448" t="s">
        <v>95</v>
      </c>
      <c r="E448">
        <v>5734.2</v>
      </c>
    </row>
    <row r="449" spans="1:5" x14ac:dyDescent="0.6">
      <c r="A449" t="s">
        <v>55</v>
      </c>
      <c r="B449" t="s">
        <v>120</v>
      </c>
      <c r="C449" t="s">
        <v>89</v>
      </c>
      <c r="D449" t="s">
        <v>92</v>
      </c>
      <c r="E449">
        <v>5734.2</v>
      </c>
    </row>
    <row r="450" spans="1:5" x14ac:dyDescent="0.6">
      <c r="A450" t="s">
        <v>55</v>
      </c>
      <c r="B450" t="s">
        <v>120</v>
      </c>
      <c r="C450" t="s">
        <v>1</v>
      </c>
      <c r="D450" t="s">
        <v>117</v>
      </c>
      <c r="E450">
        <v>0</v>
      </c>
    </row>
    <row r="451" spans="1:5" x14ac:dyDescent="0.6">
      <c r="A451" t="s">
        <v>55</v>
      </c>
      <c r="B451" t="s">
        <v>120</v>
      </c>
      <c r="C451" t="s">
        <v>1</v>
      </c>
      <c r="D451" t="s">
        <v>116</v>
      </c>
      <c r="E451">
        <v>0</v>
      </c>
    </row>
    <row r="452" spans="1:5" x14ac:dyDescent="0.6">
      <c r="A452" t="s">
        <v>55</v>
      </c>
      <c r="B452" t="s">
        <v>120</v>
      </c>
      <c r="C452" t="s">
        <v>1</v>
      </c>
      <c r="D452" t="s">
        <v>115</v>
      </c>
      <c r="E452">
        <v>0</v>
      </c>
    </row>
    <row r="453" spans="1:5" x14ac:dyDescent="0.6">
      <c r="A453" t="s">
        <v>55</v>
      </c>
      <c r="B453" t="s">
        <v>120</v>
      </c>
      <c r="C453" t="s">
        <v>1</v>
      </c>
      <c r="D453" t="s">
        <v>114</v>
      </c>
      <c r="E453">
        <v>0</v>
      </c>
    </row>
    <row r="454" spans="1:5" x14ac:dyDescent="0.6">
      <c r="A454" t="s">
        <v>55</v>
      </c>
      <c r="B454" t="s">
        <v>120</v>
      </c>
      <c r="C454" t="s">
        <v>1</v>
      </c>
      <c r="D454" t="s">
        <v>113</v>
      </c>
      <c r="E454">
        <v>0</v>
      </c>
    </row>
    <row r="455" spans="1:5" x14ac:dyDescent="0.6">
      <c r="A455" t="s">
        <v>55</v>
      </c>
      <c r="B455" t="s">
        <v>120</v>
      </c>
      <c r="C455" t="s">
        <v>1</v>
      </c>
      <c r="D455" t="s">
        <v>95</v>
      </c>
      <c r="E455">
        <v>0</v>
      </c>
    </row>
    <row r="456" spans="1:5" x14ac:dyDescent="0.6">
      <c r="A456" t="s">
        <v>55</v>
      </c>
      <c r="B456" t="s">
        <v>120</v>
      </c>
      <c r="C456" t="s">
        <v>1</v>
      </c>
      <c r="D456" t="s">
        <v>92</v>
      </c>
      <c r="E456">
        <v>0</v>
      </c>
    </row>
    <row r="457" spans="1:5" x14ac:dyDescent="0.6">
      <c r="A457" t="s">
        <v>55</v>
      </c>
      <c r="B457" t="s">
        <v>126</v>
      </c>
      <c r="C457" t="s">
        <v>7</v>
      </c>
    </row>
    <row r="458" spans="1:5" x14ac:dyDescent="0.6">
      <c r="A458" t="s">
        <v>55</v>
      </c>
      <c r="B458" t="s">
        <v>126</v>
      </c>
      <c r="C458" t="s">
        <v>7</v>
      </c>
      <c r="D458" t="s">
        <v>116</v>
      </c>
    </row>
    <row r="459" spans="1:5" x14ac:dyDescent="0.6">
      <c r="A459" t="s">
        <v>55</v>
      </c>
      <c r="B459" t="s">
        <v>126</v>
      </c>
      <c r="C459" t="s">
        <v>7</v>
      </c>
      <c r="D459" t="s">
        <v>115</v>
      </c>
    </row>
    <row r="460" spans="1:5" x14ac:dyDescent="0.6">
      <c r="A460" t="s">
        <v>55</v>
      </c>
      <c r="B460" t="s">
        <v>126</v>
      </c>
      <c r="C460" t="s">
        <v>7</v>
      </c>
      <c r="D460" t="s">
        <v>114</v>
      </c>
    </row>
    <row r="461" spans="1:5" x14ac:dyDescent="0.6">
      <c r="A461" t="s">
        <v>55</v>
      </c>
      <c r="B461" t="s">
        <v>126</v>
      </c>
      <c r="C461" t="s">
        <v>7</v>
      </c>
      <c r="D461" t="s">
        <v>113</v>
      </c>
    </row>
    <row r="462" spans="1:5" x14ac:dyDescent="0.6">
      <c r="A462" t="s">
        <v>55</v>
      </c>
      <c r="B462" t="s">
        <v>126</v>
      </c>
      <c r="C462" t="s">
        <v>7</v>
      </c>
      <c r="D462" t="s">
        <v>95</v>
      </c>
    </row>
    <row r="463" spans="1:5" x14ac:dyDescent="0.6">
      <c r="A463" t="s">
        <v>55</v>
      </c>
      <c r="B463" t="s">
        <v>126</v>
      </c>
      <c r="C463" t="s">
        <v>7</v>
      </c>
      <c r="D463" t="s">
        <v>92</v>
      </c>
    </row>
    <row r="464" spans="1:5" x14ac:dyDescent="0.6">
      <c r="A464" t="s">
        <v>55</v>
      </c>
      <c r="B464" t="s">
        <v>126</v>
      </c>
      <c r="C464" t="s">
        <v>4</v>
      </c>
      <c r="D464" t="s">
        <v>117</v>
      </c>
    </row>
    <row r="465" spans="1:4" x14ac:dyDescent="0.6">
      <c r="A465" t="s">
        <v>55</v>
      </c>
      <c r="B465" t="s">
        <v>126</v>
      </c>
      <c r="C465" t="s">
        <v>4</v>
      </c>
      <c r="D465" t="s">
        <v>116</v>
      </c>
    </row>
    <row r="466" spans="1:4" x14ac:dyDescent="0.6">
      <c r="A466" t="s">
        <v>55</v>
      </c>
      <c r="B466" t="s">
        <v>126</v>
      </c>
      <c r="C466" t="s">
        <v>4</v>
      </c>
      <c r="D466" t="s">
        <v>115</v>
      </c>
    </row>
    <row r="467" spans="1:4" x14ac:dyDescent="0.6">
      <c r="A467" t="s">
        <v>55</v>
      </c>
      <c r="B467" t="s">
        <v>126</v>
      </c>
      <c r="C467" t="s">
        <v>4</v>
      </c>
      <c r="D467" t="s">
        <v>114</v>
      </c>
    </row>
    <row r="468" spans="1:4" x14ac:dyDescent="0.6">
      <c r="A468" t="s">
        <v>55</v>
      </c>
      <c r="B468" t="s">
        <v>126</v>
      </c>
      <c r="C468" t="s">
        <v>4</v>
      </c>
      <c r="D468" t="s">
        <v>113</v>
      </c>
    </row>
    <row r="469" spans="1:4" x14ac:dyDescent="0.6">
      <c r="A469" t="s">
        <v>55</v>
      </c>
      <c r="B469" t="s">
        <v>126</v>
      </c>
      <c r="C469" t="s">
        <v>4</v>
      </c>
      <c r="D469" t="s">
        <v>95</v>
      </c>
    </row>
    <row r="470" spans="1:4" x14ac:dyDescent="0.6">
      <c r="A470" t="s">
        <v>55</v>
      </c>
      <c r="B470" t="s">
        <v>126</v>
      </c>
      <c r="C470" t="s">
        <v>4</v>
      </c>
      <c r="D470" t="s">
        <v>92</v>
      </c>
    </row>
    <row r="471" spans="1:4" x14ac:dyDescent="0.6">
      <c r="A471" t="s">
        <v>55</v>
      </c>
      <c r="B471" t="s">
        <v>126</v>
      </c>
      <c r="C471" t="s">
        <v>90</v>
      </c>
      <c r="D471" t="s">
        <v>117</v>
      </c>
    </row>
    <row r="472" spans="1:4" x14ac:dyDescent="0.6">
      <c r="A472" t="s">
        <v>55</v>
      </c>
      <c r="B472" t="s">
        <v>126</v>
      </c>
      <c r="C472" t="s">
        <v>90</v>
      </c>
      <c r="D472" t="s">
        <v>116</v>
      </c>
    </row>
    <row r="473" spans="1:4" x14ac:dyDescent="0.6">
      <c r="A473" t="s">
        <v>55</v>
      </c>
      <c r="B473" t="s">
        <v>126</v>
      </c>
      <c r="C473" t="s">
        <v>90</v>
      </c>
      <c r="D473" t="s">
        <v>115</v>
      </c>
    </row>
    <row r="474" spans="1:4" x14ac:dyDescent="0.6">
      <c r="A474" t="s">
        <v>55</v>
      </c>
      <c r="B474" t="s">
        <v>126</v>
      </c>
      <c r="C474" t="s">
        <v>90</v>
      </c>
      <c r="D474" t="s">
        <v>114</v>
      </c>
    </row>
    <row r="475" spans="1:4" x14ac:dyDescent="0.6">
      <c r="A475" t="s">
        <v>55</v>
      </c>
      <c r="B475" t="s">
        <v>126</v>
      </c>
      <c r="C475" t="s">
        <v>90</v>
      </c>
      <c r="D475" t="s">
        <v>113</v>
      </c>
    </row>
    <row r="476" spans="1:4" x14ac:dyDescent="0.6">
      <c r="A476" t="s">
        <v>55</v>
      </c>
      <c r="B476" t="s">
        <v>126</v>
      </c>
      <c r="C476" t="s">
        <v>90</v>
      </c>
      <c r="D476" t="s">
        <v>95</v>
      </c>
    </row>
    <row r="477" spans="1:4" x14ac:dyDescent="0.6">
      <c r="A477" t="s">
        <v>55</v>
      </c>
      <c r="B477" t="s">
        <v>126</v>
      </c>
      <c r="C477" t="s">
        <v>90</v>
      </c>
      <c r="D477" t="s">
        <v>92</v>
      </c>
    </row>
    <row r="478" spans="1:4" x14ac:dyDescent="0.6">
      <c r="A478" t="s">
        <v>55</v>
      </c>
      <c r="B478" t="s">
        <v>126</v>
      </c>
      <c r="C478" t="s">
        <v>6</v>
      </c>
      <c r="D478" t="s">
        <v>117</v>
      </c>
    </row>
    <row r="479" spans="1:4" x14ac:dyDescent="0.6">
      <c r="A479" t="s">
        <v>55</v>
      </c>
      <c r="B479" t="s">
        <v>126</v>
      </c>
      <c r="C479" t="s">
        <v>6</v>
      </c>
      <c r="D479" t="s">
        <v>116</v>
      </c>
    </row>
    <row r="480" spans="1:4" x14ac:dyDescent="0.6">
      <c r="A480" t="s">
        <v>55</v>
      </c>
      <c r="B480" t="s">
        <v>126</v>
      </c>
      <c r="C480" t="s">
        <v>6</v>
      </c>
      <c r="D480" t="s">
        <v>115</v>
      </c>
    </row>
    <row r="481" spans="1:4" x14ac:dyDescent="0.6">
      <c r="A481" t="s">
        <v>55</v>
      </c>
      <c r="B481" t="s">
        <v>126</v>
      </c>
      <c r="C481" t="s">
        <v>6</v>
      </c>
      <c r="D481" t="s">
        <v>114</v>
      </c>
    </row>
    <row r="482" spans="1:4" x14ac:dyDescent="0.6">
      <c r="A482" t="s">
        <v>55</v>
      </c>
      <c r="B482" t="s">
        <v>126</v>
      </c>
      <c r="C482" t="s">
        <v>6</v>
      </c>
      <c r="D482" t="s">
        <v>113</v>
      </c>
    </row>
    <row r="483" spans="1:4" x14ac:dyDescent="0.6">
      <c r="A483" t="s">
        <v>55</v>
      </c>
      <c r="B483" t="s">
        <v>126</v>
      </c>
      <c r="C483" t="s">
        <v>6</v>
      </c>
      <c r="D483" t="s">
        <v>95</v>
      </c>
    </row>
    <row r="484" spans="1:4" x14ac:dyDescent="0.6">
      <c r="A484" t="s">
        <v>55</v>
      </c>
      <c r="B484" t="s">
        <v>126</v>
      </c>
      <c r="C484" t="s">
        <v>6</v>
      </c>
      <c r="D484" t="s">
        <v>92</v>
      </c>
    </row>
    <row r="485" spans="1:4" x14ac:dyDescent="0.6">
      <c r="A485" t="s">
        <v>55</v>
      </c>
      <c r="B485" t="s">
        <v>126</v>
      </c>
      <c r="C485" t="s">
        <v>3</v>
      </c>
      <c r="D485" t="s">
        <v>117</v>
      </c>
    </row>
    <row r="486" spans="1:4" x14ac:dyDescent="0.6">
      <c r="A486" t="s">
        <v>55</v>
      </c>
      <c r="B486" t="s">
        <v>126</v>
      </c>
      <c r="C486" t="s">
        <v>3</v>
      </c>
      <c r="D486" t="s">
        <v>116</v>
      </c>
    </row>
    <row r="487" spans="1:4" x14ac:dyDescent="0.6">
      <c r="A487" t="s">
        <v>55</v>
      </c>
      <c r="B487" t="s">
        <v>126</v>
      </c>
      <c r="C487" t="s">
        <v>3</v>
      </c>
      <c r="D487" t="s">
        <v>115</v>
      </c>
    </row>
    <row r="488" spans="1:4" x14ac:dyDescent="0.6">
      <c r="A488" t="s">
        <v>55</v>
      </c>
      <c r="B488" t="s">
        <v>126</v>
      </c>
      <c r="C488" t="s">
        <v>3</v>
      </c>
      <c r="D488" t="s">
        <v>114</v>
      </c>
    </row>
    <row r="489" spans="1:4" x14ac:dyDescent="0.6">
      <c r="A489" t="s">
        <v>55</v>
      </c>
      <c r="B489" t="s">
        <v>126</v>
      </c>
      <c r="C489" t="s">
        <v>3</v>
      </c>
      <c r="D489" t="s">
        <v>113</v>
      </c>
    </row>
    <row r="490" spans="1:4" x14ac:dyDescent="0.6">
      <c r="A490" t="s">
        <v>55</v>
      </c>
      <c r="B490" t="s">
        <v>126</v>
      </c>
      <c r="C490" t="s">
        <v>3</v>
      </c>
      <c r="D490" t="s">
        <v>95</v>
      </c>
    </row>
    <row r="491" spans="1:4" x14ac:dyDescent="0.6">
      <c r="A491" t="s">
        <v>55</v>
      </c>
      <c r="B491" t="s">
        <v>126</v>
      </c>
      <c r="C491" t="s">
        <v>3</v>
      </c>
      <c r="D491" t="s">
        <v>92</v>
      </c>
    </row>
    <row r="492" spans="1:4" x14ac:dyDescent="0.6">
      <c r="A492" t="s">
        <v>55</v>
      </c>
      <c r="B492" t="s">
        <v>126</v>
      </c>
      <c r="C492" t="s">
        <v>2</v>
      </c>
      <c r="D492" t="s">
        <v>117</v>
      </c>
    </row>
    <row r="493" spans="1:4" x14ac:dyDescent="0.6">
      <c r="A493" t="s">
        <v>55</v>
      </c>
      <c r="B493" t="s">
        <v>126</v>
      </c>
      <c r="C493" t="s">
        <v>2</v>
      </c>
      <c r="D493" t="s">
        <v>116</v>
      </c>
    </row>
    <row r="494" spans="1:4" x14ac:dyDescent="0.6">
      <c r="A494" t="s">
        <v>55</v>
      </c>
      <c r="B494" t="s">
        <v>126</v>
      </c>
      <c r="C494" t="s">
        <v>2</v>
      </c>
      <c r="D494" t="s">
        <v>115</v>
      </c>
    </row>
    <row r="495" spans="1:4" x14ac:dyDescent="0.6">
      <c r="A495" t="s">
        <v>55</v>
      </c>
      <c r="B495" t="s">
        <v>126</v>
      </c>
      <c r="C495" t="s">
        <v>2</v>
      </c>
      <c r="D495" t="s">
        <v>114</v>
      </c>
    </row>
    <row r="496" spans="1:4" x14ac:dyDescent="0.6">
      <c r="A496" t="s">
        <v>55</v>
      </c>
      <c r="B496" t="s">
        <v>126</v>
      </c>
      <c r="C496" t="s">
        <v>2</v>
      </c>
      <c r="D496" t="s">
        <v>113</v>
      </c>
    </row>
    <row r="497" spans="1:5" x14ac:dyDescent="0.6">
      <c r="A497" t="s">
        <v>55</v>
      </c>
      <c r="B497" t="s">
        <v>126</v>
      </c>
      <c r="C497" t="s">
        <v>2</v>
      </c>
      <c r="D497" t="s">
        <v>95</v>
      </c>
    </row>
    <row r="498" spans="1:5" x14ac:dyDescent="0.6">
      <c r="A498" t="s">
        <v>55</v>
      </c>
      <c r="B498" t="s">
        <v>126</v>
      </c>
      <c r="C498" t="s">
        <v>2</v>
      </c>
      <c r="D498" t="s">
        <v>92</v>
      </c>
    </row>
    <row r="499" spans="1:5" x14ac:dyDescent="0.6">
      <c r="A499" t="s">
        <v>55</v>
      </c>
      <c r="B499" t="s">
        <v>126</v>
      </c>
      <c r="C499" t="s">
        <v>82</v>
      </c>
      <c r="D499" t="s">
        <v>117</v>
      </c>
    </row>
    <row r="500" spans="1:5" x14ac:dyDescent="0.6">
      <c r="A500" t="s">
        <v>55</v>
      </c>
      <c r="B500" t="s">
        <v>126</v>
      </c>
      <c r="C500" t="s">
        <v>82</v>
      </c>
      <c r="D500" t="s">
        <v>116</v>
      </c>
    </row>
    <row r="501" spans="1:5" x14ac:dyDescent="0.6">
      <c r="A501" t="s">
        <v>55</v>
      </c>
      <c r="B501" t="s">
        <v>126</v>
      </c>
      <c r="C501" t="s">
        <v>82</v>
      </c>
      <c r="D501" t="s">
        <v>115</v>
      </c>
    </row>
    <row r="502" spans="1:5" x14ac:dyDescent="0.6">
      <c r="A502" t="s">
        <v>55</v>
      </c>
      <c r="B502" t="s">
        <v>126</v>
      </c>
      <c r="C502" t="s">
        <v>82</v>
      </c>
      <c r="D502" t="s">
        <v>114</v>
      </c>
    </row>
    <row r="503" spans="1:5" x14ac:dyDescent="0.6">
      <c r="A503" t="s">
        <v>55</v>
      </c>
      <c r="B503" t="s">
        <v>126</v>
      </c>
      <c r="C503" t="s">
        <v>82</v>
      </c>
      <c r="D503" t="s">
        <v>113</v>
      </c>
    </row>
    <row r="504" spans="1:5" x14ac:dyDescent="0.6">
      <c r="A504" t="s">
        <v>55</v>
      </c>
      <c r="B504" t="s">
        <v>126</v>
      </c>
      <c r="C504" t="s">
        <v>82</v>
      </c>
      <c r="D504" t="s">
        <v>95</v>
      </c>
      <c r="E504">
        <v>80819.5</v>
      </c>
    </row>
    <row r="505" spans="1:5" x14ac:dyDescent="0.6">
      <c r="A505" t="s">
        <v>55</v>
      </c>
      <c r="B505" t="s">
        <v>126</v>
      </c>
      <c r="C505" t="s">
        <v>82</v>
      </c>
      <c r="D505" t="s">
        <v>92</v>
      </c>
      <c r="E505">
        <v>80819.5</v>
      </c>
    </row>
    <row r="506" spans="1:5" x14ac:dyDescent="0.6">
      <c r="A506" t="s">
        <v>55</v>
      </c>
      <c r="B506" t="s">
        <v>126</v>
      </c>
      <c r="C506" t="s">
        <v>89</v>
      </c>
      <c r="D506" t="s">
        <v>117</v>
      </c>
      <c r="E506">
        <v>0</v>
      </c>
    </row>
    <row r="507" spans="1:5" x14ac:dyDescent="0.6">
      <c r="A507" t="s">
        <v>55</v>
      </c>
      <c r="B507" t="s">
        <v>126</v>
      </c>
      <c r="C507" t="s">
        <v>89</v>
      </c>
      <c r="D507" t="s">
        <v>116</v>
      </c>
      <c r="E507">
        <v>41173</v>
      </c>
    </row>
    <row r="508" spans="1:5" x14ac:dyDescent="0.6">
      <c r="A508" t="s">
        <v>55</v>
      </c>
      <c r="B508" t="s">
        <v>126</v>
      </c>
      <c r="C508" t="s">
        <v>89</v>
      </c>
      <c r="D508" t="s">
        <v>115</v>
      </c>
      <c r="E508">
        <v>0</v>
      </c>
    </row>
    <row r="509" spans="1:5" x14ac:dyDescent="0.6">
      <c r="A509" t="s">
        <v>55</v>
      </c>
      <c r="B509" t="s">
        <v>126</v>
      </c>
      <c r="C509" t="s">
        <v>89</v>
      </c>
      <c r="D509" t="s">
        <v>114</v>
      </c>
      <c r="E509">
        <v>0</v>
      </c>
    </row>
    <row r="510" spans="1:5" x14ac:dyDescent="0.6">
      <c r="A510" t="s">
        <v>55</v>
      </c>
      <c r="B510" t="s">
        <v>126</v>
      </c>
      <c r="C510" t="s">
        <v>89</v>
      </c>
      <c r="D510" t="s">
        <v>113</v>
      </c>
      <c r="E510">
        <v>0</v>
      </c>
    </row>
    <row r="511" spans="1:5" x14ac:dyDescent="0.6">
      <c r="A511" t="s">
        <v>55</v>
      </c>
      <c r="B511" t="s">
        <v>126</v>
      </c>
      <c r="C511" t="s">
        <v>89</v>
      </c>
      <c r="D511" t="s">
        <v>95</v>
      </c>
      <c r="E511">
        <v>92639.25</v>
      </c>
    </row>
    <row r="512" spans="1:5" x14ac:dyDescent="0.6">
      <c r="A512" t="s">
        <v>55</v>
      </c>
      <c r="B512" t="s">
        <v>126</v>
      </c>
      <c r="C512" t="s">
        <v>89</v>
      </c>
      <c r="D512" t="s">
        <v>92</v>
      </c>
      <c r="E512">
        <v>72052.75</v>
      </c>
    </row>
    <row r="513" spans="1:5" x14ac:dyDescent="0.6">
      <c r="A513" t="s">
        <v>55</v>
      </c>
      <c r="B513" t="s">
        <v>126</v>
      </c>
      <c r="C513" t="s">
        <v>1</v>
      </c>
      <c r="D513" t="s">
        <v>117</v>
      </c>
      <c r="E513">
        <v>0</v>
      </c>
    </row>
    <row r="514" spans="1:5" x14ac:dyDescent="0.6">
      <c r="A514" t="s">
        <v>55</v>
      </c>
      <c r="B514" t="s">
        <v>126</v>
      </c>
      <c r="C514" t="s">
        <v>1</v>
      </c>
      <c r="D514" t="s">
        <v>116</v>
      </c>
      <c r="E514">
        <v>96175.379400000005</v>
      </c>
    </row>
    <row r="515" spans="1:5" x14ac:dyDescent="0.6">
      <c r="A515" t="s">
        <v>55</v>
      </c>
      <c r="B515" t="s">
        <v>126</v>
      </c>
      <c r="C515" t="s">
        <v>1</v>
      </c>
      <c r="D515" t="s">
        <v>115</v>
      </c>
      <c r="E515">
        <v>0</v>
      </c>
    </row>
    <row r="516" spans="1:5" x14ac:dyDescent="0.6">
      <c r="A516" t="s">
        <v>55</v>
      </c>
      <c r="B516" t="s">
        <v>126</v>
      </c>
      <c r="C516" t="s">
        <v>1</v>
      </c>
      <c r="D516" t="s">
        <v>114</v>
      </c>
      <c r="E516">
        <v>0</v>
      </c>
    </row>
    <row r="517" spans="1:5" x14ac:dyDescent="0.6">
      <c r="A517" t="s">
        <v>55</v>
      </c>
      <c r="B517" t="s">
        <v>126</v>
      </c>
      <c r="C517" t="s">
        <v>1</v>
      </c>
      <c r="D517" t="s">
        <v>113</v>
      </c>
      <c r="E517">
        <v>0</v>
      </c>
    </row>
    <row r="518" spans="1:5" x14ac:dyDescent="0.6">
      <c r="A518" t="s">
        <v>55</v>
      </c>
      <c r="B518" t="s">
        <v>126</v>
      </c>
      <c r="C518" t="s">
        <v>1</v>
      </c>
      <c r="D518" t="s">
        <v>95</v>
      </c>
      <c r="E518">
        <v>112205.0886</v>
      </c>
    </row>
    <row r="519" spans="1:5" x14ac:dyDescent="0.6">
      <c r="A519" t="s">
        <v>55</v>
      </c>
      <c r="B519" t="s">
        <v>126</v>
      </c>
      <c r="C519" t="s">
        <v>1</v>
      </c>
      <c r="D519" t="s">
        <v>92</v>
      </c>
      <c r="E519">
        <v>112205.0886</v>
      </c>
    </row>
    <row r="520" spans="1:5" x14ac:dyDescent="0.6">
      <c r="A520" t="s">
        <v>55</v>
      </c>
      <c r="B520" t="s">
        <v>122</v>
      </c>
      <c r="C520" t="s">
        <v>7</v>
      </c>
    </row>
    <row r="521" spans="1:5" x14ac:dyDescent="0.6">
      <c r="A521" t="s">
        <v>55</v>
      </c>
      <c r="B521" t="s">
        <v>122</v>
      </c>
      <c r="C521" t="s">
        <v>7</v>
      </c>
      <c r="D521" t="s">
        <v>116</v>
      </c>
    </row>
    <row r="522" spans="1:5" x14ac:dyDescent="0.6">
      <c r="A522" t="s">
        <v>55</v>
      </c>
      <c r="B522" t="s">
        <v>122</v>
      </c>
      <c r="C522" t="s">
        <v>7</v>
      </c>
      <c r="D522" t="s">
        <v>115</v>
      </c>
    </row>
    <row r="523" spans="1:5" x14ac:dyDescent="0.6">
      <c r="A523" t="s">
        <v>55</v>
      </c>
      <c r="B523" t="s">
        <v>122</v>
      </c>
      <c r="C523" t="s">
        <v>7</v>
      </c>
      <c r="D523" t="s">
        <v>114</v>
      </c>
    </row>
    <row r="524" spans="1:5" x14ac:dyDescent="0.6">
      <c r="A524" t="s">
        <v>55</v>
      </c>
      <c r="B524" t="s">
        <v>122</v>
      </c>
      <c r="C524" t="s">
        <v>7</v>
      </c>
      <c r="D524" t="s">
        <v>113</v>
      </c>
    </row>
    <row r="525" spans="1:5" x14ac:dyDescent="0.6">
      <c r="A525" t="s">
        <v>55</v>
      </c>
      <c r="B525" t="s">
        <v>122</v>
      </c>
      <c r="C525" t="s">
        <v>7</v>
      </c>
      <c r="D525" t="s">
        <v>95</v>
      </c>
    </row>
    <row r="526" spans="1:5" x14ac:dyDescent="0.6">
      <c r="A526" t="s">
        <v>55</v>
      </c>
      <c r="B526" t="s">
        <v>122</v>
      </c>
      <c r="C526" t="s">
        <v>7</v>
      </c>
      <c r="D526" t="s">
        <v>92</v>
      </c>
    </row>
    <row r="527" spans="1:5" x14ac:dyDescent="0.6">
      <c r="A527" t="s">
        <v>55</v>
      </c>
      <c r="B527" t="s">
        <v>122</v>
      </c>
      <c r="C527" t="s">
        <v>4</v>
      </c>
      <c r="D527" t="s">
        <v>117</v>
      </c>
    </row>
    <row r="528" spans="1:5" x14ac:dyDescent="0.6">
      <c r="A528" t="s">
        <v>55</v>
      </c>
      <c r="B528" t="s">
        <v>122</v>
      </c>
      <c r="C528" t="s">
        <v>4</v>
      </c>
      <c r="D528" t="s">
        <v>116</v>
      </c>
    </row>
    <row r="529" spans="1:4" x14ac:dyDescent="0.6">
      <c r="A529" t="s">
        <v>55</v>
      </c>
      <c r="B529" t="s">
        <v>122</v>
      </c>
      <c r="C529" t="s">
        <v>4</v>
      </c>
      <c r="D529" t="s">
        <v>115</v>
      </c>
    </row>
    <row r="530" spans="1:4" x14ac:dyDescent="0.6">
      <c r="A530" t="s">
        <v>55</v>
      </c>
      <c r="B530" t="s">
        <v>122</v>
      </c>
      <c r="C530" t="s">
        <v>4</v>
      </c>
      <c r="D530" t="s">
        <v>114</v>
      </c>
    </row>
    <row r="531" spans="1:4" x14ac:dyDescent="0.6">
      <c r="A531" t="s">
        <v>55</v>
      </c>
      <c r="B531" t="s">
        <v>122</v>
      </c>
      <c r="C531" t="s">
        <v>4</v>
      </c>
      <c r="D531" t="s">
        <v>113</v>
      </c>
    </row>
    <row r="532" spans="1:4" x14ac:dyDescent="0.6">
      <c r="A532" t="s">
        <v>55</v>
      </c>
      <c r="B532" t="s">
        <v>122</v>
      </c>
      <c r="C532" t="s">
        <v>4</v>
      </c>
      <c r="D532" t="s">
        <v>95</v>
      </c>
    </row>
    <row r="533" spans="1:4" x14ac:dyDescent="0.6">
      <c r="A533" t="s">
        <v>55</v>
      </c>
      <c r="B533" t="s">
        <v>122</v>
      </c>
      <c r="C533" t="s">
        <v>4</v>
      </c>
      <c r="D533" t="s">
        <v>92</v>
      </c>
    </row>
    <row r="534" spans="1:4" x14ac:dyDescent="0.6">
      <c r="A534" t="s">
        <v>55</v>
      </c>
      <c r="B534" t="s">
        <v>122</v>
      </c>
      <c r="C534" t="s">
        <v>90</v>
      </c>
      <c r="D534" t="s">
        <v>117</v>
      </c>
    </row>
    <row r="535" spans="1:4" x14ac:dyDescent="0.6">
      <c r="A535" t="s">
        <v>55</v>
      </c>
      <c r="B535" t="s">
        <v>122</v>
      </c>
      <c r="C535" t="s">
        <v>90</v>
      </c>
      <c r="D535" t="s">
        <v>116</v>
      </c>
    </row>
    <row r="536" spans="1:4" x14ac:dyDescent="0.6">
      <c r="A536" t="s">
        <v>55</v>
      </c>
      <c r="B536" t="s">
        <v>122</v>
      </c>
      <c r="C536" t="s">
        <v>90</v>
      </c>
      <c r="D536" t="s">
        <v>115</v>
      </c>
    </row>
    <row r="537" spans="1:4" x14ac:dyDescent="0.6">
      <c r="A537" t="s">
        <v>55</v>
      </c>
      <c r="B537" t="s">
        <v>122</v>
      </c>
      <c r="C537" t="s">
        <v>90</v>
      </c>
      <c r="D537" t="s">
        <v>114</v>
      </c>
    </row>
    <row r="538" spans="1:4" x14ac:dyDescent="0.6">
      <c r="A538" t="s">
        <v>55</v>
      </c>
      <c r="B538" t="s">
        <v>122</v>
      </c>
      <c r="C538" t="s">
        <v>90</v>
      </c>
      <c r="D538" t="s">
        <v>113</v>
      </c>
    </row>
    <row r="539" spans="1:4" x14ac:dyDescent="0.6">
      <c r="A539" t="s">
        <v>55</v>
      </c>
      <c r="B539" t="s">
        <v>122</v>
      </c>
      <c r="C539" t="s">
        <v>90</v>
      </c>
      <c r="D539" t="s">
        <v>95</v>
      </c>
    </row>
    <row r="540" spans="1:4" x14ac:dyDescent="0.6">
      <c r="A540" t="s">
        <v>55</v>
      </c>
      <c r="B540" t="s">
        <v>122</v>
      </c>
      <c r="C540" t="s">
        <v>90</v>
      </c>
      <c r="D540" t="s">
        <v>92</v>
      </c>
    </row>
    <row r="541" spans="1:4" x14ac:dyDescent="0.6">
      <c r="A541" t="s">
        <v>55</v>
      </c>
      <c r="B541" t="s">
        <v>122</v>
      </c>
      <c r="C541" t="s">
        <v>6</v>
      </c>
      <c r="D541" t="s">
        <v>117</v>
      </c>
    </row>
    <row r="542" spans="1:4" x14ac:dyDescent="0.6">
      <c r="A542" t="s">
        <v>55</v>
      </c>
      <c r="B542" t="s">
        <v>122</v>
      </c>
      <c r="C542" t="s">
        <v>6</v>
      </c>
      <c r="D542" t="s">
        <v>116</v>
      </c>
    </row>
    <row r="543" spans="1:4" x14ac:dyDescent="0.6">
      <c r="A543" t="s">
        <v>55</v>
      </c>
      <c r="B543" t="s">
        <v>122</v>
      </c>
      <c r="C543" t="s">
        <v>6</v>
      </c>
      <c r="D543" t="s">
        <v>115</v>
      </c>
    </row>
    <row r="544" spans="1:4" x14ac:dyDescent="0.6">
      <c r="A544" t="s">
        <v>55</v>
      </c>
      <c r="B544" t="s">
        <v>122</v>
      </c>
      <c r="C544" t="s">
        <v>6</v>
      </c>
      <c r="D544" t="s">
        <v>114</v>
      </c>
    </row>
    <row r="545" spans="1:5" x14ac:dyDescent="0.6">
      <c r="A545" t="s">
        <v>55</v>
      </c>
      <c r="B545" t="s">
        <v>122</v>
      </c>
      <c r="C545" t="s">
        <v>6</v>
      </c>
      <c r="D545" t="s">
        <v>113</v>
      </c>
    </row>
    <row r="546" spans="1:5" x14ac:dyDescent="0.6">
      <c r="A546" t="s">
        <v>55</v>
      </c>
      <c r="B546" t="s">
        <v>122</v>
      </c>
      <c r="C546" t="s">
        <v>6</v>
      </c>
      <c r="D546" t="s">
        <v>95</v>
      </c>
    </row>
    <row r="547" spans="1:5" x14ac:dyDescent="0.6">
      <c r="A547" t="s">
        <v>55</v>
      </c>
      <c r="B547" t="s">
        <v>122</v>
      </c>
      <c r="C547" t="s">
        <v>6</v>
      </c>
      <c r="D547" t="s">
        <v>92</v>
      </c>
    </row>
    <row r="548" spans="1:5" x14ac:dyDescent="0.6">
      <c r="A548" t="s">
        <v>55</v>
      </c>
      <c r="B548" t="s">
        <v>122</v>
      </c>
      <c r="C548" t="s">
        <v>3</v>
      </c>
      <c r="D548" t="s">
        <v>117</v>
      </c>
    </row>
    <row r="549" spans="1:5" x14ac:dyDescent="0.6">
      <c r="A549" t="s">
        <v>55</v>
      </c>
      <c r="B549" t="s">
        <v>122</v>
      </c>
      <c r="C549" t="s">
        <v>3</v>
      </c>
      <c r="D549" t="s">
        <v>116</v>
      </c>
      <c r="E549">
        <v>4333</v>
      </c>
    </row>
    <row r="550" spans="1:5" x14ac:dyDescent="0.6">
      <c r="A550" t="s">
        <v>55</v>
      </c>
      <c r="B550" t="s">
        <v>122</v>
      </c>
      <c r="C550" t="s">
        <v>3</v>
      </c>
      <c r="D550" t="s">
        <v>115</v>
      </c>
    </row>
    <row r="551" spans="1:5" x14ac:dyDescent="0.6">
      <c r="A551" t="s">
        <v>55</v>
      </c>
      <c r="B551" t="s">
        <v>122</v>
      </c>
      <c r="C551" t="s">
        <v>3</v>
      </c>
      <c r="D551" t="s">
        <v>114</v>
      </c>
    </row>
    <row r="552" spans="1:5" x14ac:dyDescent="0.6">
      <c r="A552" t="s">
        <v>55</v>
      </c>
      <c r="B552" t="s">
        <v>122</v>
      </c>
      <c r="C552" t="s">
        <v>3</v>
      </c>
      <c r="D552" t="s">
        <v>113</v>
      </c>
    </row>
    <row r="553" spans="1:5" x14ac:dyDescent="0.6">
      <c r="A553" t="s">
        <v>55</v>
      </c>
      <c r="B553" t="s">
        <v>122</v>
      </c>
      <c r="C553" t="s">
        <v>3</v>
      </c>
      <c r="D553" t="s">
        <v>95</v>
      </c>
      <c r="E553">
        <v>22466</v>
      </c>
    </row>
    <row r="554" spans="1:5" x14ac:dyDescent="0.6">
      <c r="A554" t="s">
        <v>55</v>
      </c>
      <c r="B554" t="s">
        <v>122</v>
      </c>
      <c r="C554" t="s">
        <v>3</v>
      </c>
      <c r="D554" t="s">
        <v>92</v>
      </c>
      <c r="E554">
        <v>25751</v>
      </c>
    </row>
    <row r="555" spans="1:5" x14ac:dyDescent="0.6">
      <c r="A555" t="s">
        <v>55</v>
      </c>
      <c r="B555" t="s">
        <v>122</v>
      </c>
      <c r="C555" t="s">
        <v>2</v>
      </c>
      <c r="D555" t="s">
        <v>117</v>
      </c>
    </row>
    <row r="556" spans="1:5" x14ac:dyDescent="0.6">
      <c r="A556" t="s">
        <v>55</v>
      </c>
      <c r="B556" t="s">
        <v>122</v>
      </c>
      <c r="C556" t="s">
        <v>2</v>
      </c>
      <c r="D556" t="s">
        <v>116</v>
      </c>
    </row>
    <row r="557" spans="1:5" x14ac:dyDescent="0.6">
      <c r="A557" t="s">
        <v>55</v>
      </c>
      <c r="B557" t="s">
        <v>122</v>
      </c>
      <c r="C557" t="s">
        <v>2</v>
      </c>
      <c r="D557" t="s">
        <v>115</v>
      </c>
    </row>
    <row r="558" spans="1:5" x14ac:dyDescent="0.6">
      <c r="A558" t="s">
        <v>55</v>
      </c>
      <c r="B558" t="s">
        <v>122</v>
      </c>
      <c r="C558" t="s">
        <v>2</v>
      </c>
      <c r="D558" t="s">
        <v>114</v>
      </c>
    </row>
    <row r="559" spans="1:5" x14ac:dyDescent="0.6">
      <c r="A559" t="s">
        <v>55</v>
      </c>
      <c r="B559" t="s">
        <v>122</v>
      </c>
      <c r="C559" t="s">
        <v>2</v>
      </c>
      <c r="D559" t="s">
        <v>113</v>
      </c>
    </row>
    <row r="560" spans="1:5" x14ac:dyDescent="0.6">
      <c r="A560" t="s">
        <v>55</v>
      </c>
      <c r="B560" t="s">
        <v>122</v>
      </c>
      <c r="C560" t="s">
        <v>2</v>
      </c>
      <c r="D560" t="s">
        <v>95</v>
      </c>
    </row>
    <row r="561" spans="1:5" x14ac:dyDescent="0.6">
      <c r="A561" t="s">
        <v>55</v>
      </c>
      <c r="B561" t="s">
        <v>122</v>
      </c>
      <c r="C561" t="s">
        <v>2</v>
      </c>
      <c r="D561" t="s">
        <v>92</v>
      </c>
    </row>
    <row r="562" spans="1:5" x14ac:dyDescent="0.6">
      <c r="A562" t="s">
        <v>55</v>
      </c>
      <c r="B562" t="s">
        <v>122</v>
      </c>
      <c r="C562" t="s">
        <v>82</v>
      </c>
      <c r="D562" t="s">
        <v>117</v>
      </c>
    </row>
    <row r="563" spans="1:5" x14ac:dyDescent="0.6">
      <c r="A563" t="s">
        <v>55</v>
      </c>
      <c r="B563" t="s">
        <v>122</v>
      </c>
      <c r="C563" t="s">
        <v>82</v>
      </c>
      <c r="D563" t="s">
        <v>116</v>
      </c>
    </row>
    <row r="564" spans="1:5" x14ac:dyDescent="0.6">
      <c r="A564" t="s">
        <v>55</v>
      </c>
      <c r="B564" t="s">
        <v>122</v>
      </c>
      <c r="C564" t="s">
        <v>82</v>
      </c>
      <c r="D564" t="s">
        <v>115</v>
      </c>
    </row>
    <row r="565" spans="1:5" x14ac:dyDescent="0.6">
      <c r="A565" t="s">
        <v>55</v>
      </c>
      <c r="B565" t="s">
        <v>122</v>
      </c>
      <c r="C565" t="s">
        <v>82</v>
      </c>
      <c r="D565" t="s">
        <v>114</v>
      </c>
    </row>
    <row r="566" spans="1:5" x14ac:dyDescent="0.6">
      <c r="A566" t="s">
        <v>55</v>
      </c>
      <c r="B566" t="s">
        <v>122</v>
      </c>
      <c r="C566" t="s">
        <v>82</v>
      </c>
      <c r="D566" t="s">
        <v>113</v>
      </c>
    </row>
    <row r="567" spans="1:5" x14ac:dyDescent="0.6">
      <c r="A567" t="s">
        <v>55</v>
      </c>
      <c r="B567" t="s">
        <v>122</v>
      </c>
      <c r="C567" t="s">
        <v>82</v>
      </c>
      <c r="D567" t="s">
        <v>95</v>
      </c>
      <c r="E567">
        <v>520579</v>
      </c>
    </row>
    <row r="568" spans="1:5" x14ac:dyDescent="0.6">
      <c r="A568" t="s">
        <v>55</v>
      </c>
      <c r="B568" t="s">
        <v>122</v>
      </c>
      <c r="C568" t="s">
        <v>82</v>
      </c>
      <c r="D568" t="s">
        <v>92</v>
      </c>
      <c r="E568">
        <v>596702</v>
      </c>
    </row>
    <row r="569" spans="1:5" x14ac:dyDescent="0.6">
      <c r="A569" t="s">
        <v>55</v>
      </c>
      <c r="B569" t="s">
        <v>122</v>
      </c>
      <c r="C569" t="s">
        <v>89</v>
      </c>
      <c r="D569" t="s">
        <v>117</v>
      </c>
      <c r="E569">
        <v>0</v>
      </c>
    </row>
    <row r="570" spans="1:5" x14ac:dyDescent="0.6">
      <c r="A570" t="s">
        <v>55</v>
      </c>
      <c r="B570" t="s">
        <v>122</v>
      </c>
      <c r="C570" t="s">
        <v>89</v>
      </c>
      <c r="D570" t="s">
        <v>116</v>
      </c>
      <c r="E570">
        <v>32751.25</v>
      </c>
    </row>
    <row r="571" spans="1:5" x14ac:dyDescent="0.6">
      <c r="A571" t="s">
        <v>55</v>
      </c>
      <c r="B571" t="s">
        <v>122</v>
      </c>
      <c r="C571" t="s">
        <v>89</v>
      </c>
      <c r="D571" t="s">
        <v>115</v>
      </c>
      <c r="E571">
        <v>0</v>
      </c>
    </row>
    <row r="572" spans="1:5" x14ac:dyDescent="0.6">
      <c r="A572" t="s">
        <v>55</v>
      </c>
      <c r="B572" t="s">
        <v>122</v>
      </c>
      <c r="C572" t="s">
        <v>89</v>
      </c>
      <c r="D572" t="s">
        <v>114</v>
      </c>
      <c r="E572">
        <v>0</v>
      </c>
    </row>
    <row r="573" spans="1:5" x14ac:dyDescent="0.6">
      <c r="A573" t="s">
        <v>55</v>
      </c>
      <c r="B573" t="s">
        <v>122</v>
      </c>
      <c r="C573" t="s">
        <v>89</v>
      </c>
      <c r="D573" t="s">
        <v>113</v>
      </c>
      <c r="E573">
        <v>23393.75</v>
      </c>
    </row>
    <row r="574" spans="1:5" x14ac:dyDescent="0.6">
      <c r="A574" t="s">
        <v>55</v>
      </c>
      <c r="B574" t="s">
        <v>122</v>
      </c>
      <c r="C574" t="s">
        <v>89</v>
      </c>
      <c r="D574" t="s">
        <v>95</v>
      </c>
      <c r="E574">
        <v>430445</v>
      </c>
    </row>
    <row r="575" spans="1:5" x14ac:dyDescent="0.6">
      <c r="A575" t="s">
        <v>55</v>
      </c>
      <c r="B575" t="s">
        <v>122</v>
      </c>
      <c r="C575" t="s">
        <v>89</v>
      </c>
      <c r="D575" t="s">
        <v>92</v>
      </c>
      <c r="E575">
        <v>388336.25</v>
      </c>
    </row>
    <row r="576" spans="1:5" x14ac:dyDescent="0.6">
      <c r="A576" t="s">
        <v>55</v>
      </c>
      <c r="B576" t="s">
        <v>122</v>
      </c>
      <c r="C576" t="s">
        <v>1</v>
      </c>
      <c r="D576" t="s">
        <v>117</v>
      </c>
      <c r="E576">
        <v>0</v>
      </c>
    </row>
    <row r="577" spans="1:5" x14ac:dyDescent="0.6">
      <c r="A577" t="s">
        <v>55</v>
      </c>
      <c r="B577" t="s">
        <v>122</v>
      </c>
      <c r="C577" t="s">
        <v>1</v>
      </c>
      <c r="D577" t="s">
        <v>116</v>
      </c>
      <c r="E577">
        <v>181243.024</v>
      </c>
    </row>
    <row r="578" spans="1:5" x14ac:dyDescent="0.6">
      <c r="A578" t="s">
        <v>55</v>
      </c>
      <c r="B578" t="s">
        <v>122</v>
      </c>
      <c r="C578" t="s">
        <v>1</v>
      </c>
      <c r="D578" t="s">
        <v>115</v>
      </c>
      <c r="E578">
        <v>0</v>
      </c>
    </row>
    <row r="579" spans="1:5" x14ac:dyDescent="0.6">
      <c r="A579" t="s">
        <v>55</v>
      </c>
      <c r="B579" t="s">
        <v>122</v>
      </c>
      <c r="C579" t="s">
        <v>1</v>
      </c>
      <c r="D579" t="s">
        <v>114</v>
      </c>
      <c r="E579">
        <v>0</v>
      </c>
    </row>
    <row r="580" spans="1:5" x14ac:dyDescent="0.6">
      <c r="A580" t="s">
        <v>55</v>
      </c>
      <c r="B580" t="s">
        <v>122</v>
      </c>
      <c r="C580" t="s">
        <v>1</v>
      </c>
      <c r="D580" t="s">
        <v>113</v>
      </c>
      <c r="E580">
        <v>0</v>
      </c>
    </row>
    <row r="581" spans="1:5" x14ac:dyDescent="0.6">
      <c r="A581" t="s">
        <v>55</v>
      </c>
      <c r="B581" t="s">
        <v>122</v>
      </c>
      <c r="C581" t="s">
        <v>1</v>
      </c>
      <c r="D581" t="s">
        <v>95</v>
      </c>
      <c r="E581">
        <v>939759.12</v>
      </c>
    </row>
    <row r="582" spans="1:5" x14ac:dyDescent="0.6">
      <c r="A582" t="s">
        <v>55</v>
      </c>
      <c r="B582" t="s">
        <v>122</v>
      </c>
      <c r="C582" t="s">
        <v>1</v>
      </c>
      <c r="D582" t="s">
        <v>92</v>
      </c>
      <c r="E582">
        <v>1077179.304</v>
      </c>
    </row>
    <row r="583" spans="1:5" x14ac:dyDescent="0.6">
      <c r="A583" t="s">
        <v>55</v>
      </c>
      <c r="B583" t="s">
        <v>121</v>
      </c>
      <c r="C583" t="s">
        <v>7</v>
      </c>
    </row>
    <row r="584" spans="1:5" x14ac:dyDescent="0.6">
      <c r="A584" t="s">
        <v>55</v>
      </c>
      <c r="B584" t="s">
        <v>121</v>
      </c>
      <c r="C584" t="s">
        <v>7</v>
      </c>
      <c r="D584" t="s">
        <v>116</v>
      </c>
    </row>
    <row r="585" spans="1:5" x14ac:dyDescent="0.6">
      <c r="A585" t="s">
        <v>55</v>
      </c>
      <c r="B585" t="s">
        <v>121</v>
      </c>
      <c r="C585" t="s">
        <v>7</v>
      </c>
      <c r="D585" t="s">
        <v>115</v>
      </c>
    </row>
    <row r="586" spans="1:5" x14ac:dyDescent="0.6">
      <c r="A586" t="s">
        <v>55</v>
      </c>
      <c r="B586" t="s">
        <v>121</v>
      </c>
      <c r="C586" t="s">
        <v>7</v>
      </c>
      <c r="D586" t="s">
        <v>114</v>
      </c>
    </row>
    <row r="587" spans="1:5" x14ac:dyDescent="0.6">
      <c r="A587" t="s">
        <v>55</v>
      </c>
      <c r="B587" t="s">
        <v>121</v>
      </c>
      <c r="C587" t="s">
        <v>7</v>
      </c>
      <c r="D587" t="s">
        <v>113</v>
      </c>
    </row>
    <row r="588" spans="1:5" x14ac:dyDescent="0.6">
      <c r="A588" t="s">
        <v>55</v>
      </c>
      <c r="B588" t="s">
        <v>121</v>
      </c>
      <c r="C588" t="s">
        <v>7</v>
      </c>
      <c r="D588" t="s">
        <v>95</v>
      </c>
    </row>
    <row r="589" spans="1:5" x14ac:dyDescent="0.6">
      <c r="A589" t="s">
        <v>55</v>
      </c>
      <c r="B589" t="s">
        <v>121</v>
      </c>
      <c r="C589" t="s">
        <v>7</v>
      </c>
      <c r="D589" t="s">
        <v>92</v>
      </c>
    </row>
    <row r="590" spans="1:5" x14ac:dyDescent="0.6">
      <c r="A590" t="s">
        <v>55</v>
      </c>
      <c r="B590" t="s">
        <v>121</v>
      </c>
      <c r="C590" t="s">
        <v>4</v>
      </c>
      <c r="D590" t="s">
        <v>117</v>
      </c>
    </row>
    <row r="591" spans="1:5" x14ac:dyDescent="0.6">
      <c r="A591" t="s">
        <v>55</v>
      </c>
      <c r="B591" t="s">
        <v>121</v>
      </c>
      <c r="C591" t="s">
        <v>4</v>
      </c>
      <c r="D591" t="s">
        <v>116</v>
      </c>
    </row>
    <row r="592" spans="1:5" x14ac:dyDescent="0.6">
      <c r="A592" t="s">
        <v>55</v>
      </c>
      <c r="B592" t="s">
        <v>121</v>
      </c>
      <c r="C592" t="s">
        <v>4</v>
      </c>
      <c r="D592" t="s">
        <v>115</v>
      </c>
    </row>
    <row r="593" spans="1:4" x14ac:dyDescent="0.6">
      <c r="A593" t="s">
        <v>55</v>
      </c>
      <c r="B593" t="s">
        <v>121</v>
      </c>
      <c r="C593" t="s">
        <v>4</v>
      </c>
      <c r="D593" t="s">
        <v>114</v>
      </c>
    </row>
    <row r="594" spans="1:4" x14ac:dyDescent="0.6">
      <c r="A594" t="s">
        <v>55</v>
      </c>
      <c r="B594" t="s">
        <v>121</v>
      </c>
      <c r="C594" t="s">
        <v>4</v>
      </c>
      <c r="D594" t="s">
        <v>113</v>
      </c>
    </row>
    <row r="595" spans="1:4" x14ac:dyDescent="0.6">
      <c r="A595" t="s">
        <v>55</v>
      </c>
      <c r="B595" t="s">
        <v>121</v>
      </c>
      <c r="C595" t="s">
        <v>4</v>
      </c>
      <c r="D595" t="s">
        <v>95</v>
      </c>
    </row>
    <row r="596" spans="1:4" x14ac:dyDescent="0.6">
      <c r="A596" t="s">
        <v>55</v>
      </c>
      <c r="B596" t="s">
        <v>121</v>
      </c>
      <c r="C596" t="s">
        <v>4</v>
      </c>
      <c r="D596" t="s">
        <v>92</v>
      </c>
    </row>
    <row r="597" spans="1:4" x14ac:dyDescent="0.6">
      <c r="A597" t="s">
        <v>55</v>
      </c>
      <c r="B597" t="s">
        <v>121</v>
      </c>
      <c r="C597" t="s">
        <v>90</v>
      </c>
      <c r="D597" t="s">
        <v>117</v>
      </c>
    </row>
    <row r="598" spans="1:4" x14ac:dyDescent="0.6">
      <c r="A598" t="s">
        <v>55</v>
      </c>
      <c r="B598" t="s">
        <v>121</v>
      </c>
      <c r="C598" t="s">
        <v>90</v>
      </c>
      <c r="D598" t="s">
        <v>116</v>
      </c>
    </row>
    <row r="599" spans="1:4" x14ac:dyDescent="0.6">
      <c r="A599" t="s">
        <v>55</v>
      </c>
      <c r="B599" t="s">
        <v>121</v>
      </c>
      <c r="C599" t="s">
        <v>90</v>
      </c>
      <c r="D599" t="s">
        <v>115</v>
      </c>
    </row>
    <row r="600" spans="1:4" x14ac:dyDescent="0.6">
      <c r="A600" t="s">
        <v>55</v>
      </c>
      <c r="B600" t="s">
        <v>121</v>
      </c>
      <c r="C600" t="s">
        <v>90</v>
      </c>
      <c r="D600" t="s">
        <v>114</v>
      </c>
    </row>
    <row r="601" spans="1:4" x14ac:dyDescent="0.6">
      <c r="A601" t="s">
        <v>55</v>
      </c>
      <c r="B601" t="s">
        <v>121</v>
      </c>
      <c r="C601" t="s">
        <v>90</v>
      </c>
      <c r="D601" t="s">
        <v>113</v>
      </c>
    </row>
    <row r="602" spans="1:4" x14ac:dyDescent="0.6">
      <c r="A602" t="s">
        <v>55</v>
      </c>
      <c r="B602" t="s">
        <v>121</v>
      </c>
      <c r="C602" t="s">
        <v>90</v>
      </c>
      <c r="D602" t="s">
        <v>95</v>
      </c>
    </row>
    <row r="603" spans="1:4" x14ac:dyDescent="0.6">
      <c r="A603" t="s">
        <v>55</v>
      </c>
      <c r="B603" t="s">
        <v>121</v>
      </c>
      <c r="C603" t="s">
        <v>90</v>
      </c>
      <c r="D603" t="s">
        <v>92</v>
      </c>
    </row>
    <row r="604" spans="1:4" x14ac:dyDescent="0.6">
      <c r="A604" t="s">
        <v>55</v>
      </c>
      <c r="B604" t="s">
        <v>121</v>
      </c>
      <c r="C604" t="s">
        <v>6</v>
      </c>
      <c r="D604" t="s">
        <v>117</v>
      </c>
    </row>
    <row r="605" spans="1:4" x14ac:dyDescent="0.6">
      <c r="A605" t="s">
        <v>55</v>
      </c>
      <c r="B605" t="s">
        <v>121</v>
      </c>
      <c r="C605" t="s">
        <v>6</v>
      </c>
      <c r="D605" t="s">
        <v>116</v>
      </c>
    </row>
    <row r="606" spans="1:4" x14ac:dyDescent="0.6">
      <c r="A606" t="s">
        <v>55</v>
      </c>
      <c r="B606" t="s">
        <v>121</v>
      </c>
      <c r="C606" t="s">
        <v>6</v>
      </c>
      <c r="D606" t="s">
        <v>115</v>
      </c>
    </row>
    <row r="607" spans="1:4" x14ac:dyDescent="0.6">
      <c r="A607" t="s">
        <v>55</v>
      </c>
      <c r="B607" t="s">
        <v>121</v>
      </c>
      <c r="C607" t="s">
        <v>6</v>
      </c>
      <c r="D607" t="s">
        <v>114</v>
      </c>
    </row>
    <row r="608" spans="1:4" x14ac:dyDescent="0.6">
      <c r="A608" t="s">
        <v>55</v>
      </c>
      <c r="B608" t="s">
        <v>121</v>
      </c>
      <c r="C608" t="s">
        <v>6</v>
      </c>
      <c r="D608" t="s">
        <v>113</v>
      </c>
    </row>
    <row r="609" spans="1:4" x14ac:dyDescent="0.6">
      <c r="A609" t="s">
        <v>55</v>
      </c>
      <c r="B609" t="s">
        <v>121</v>
      </c>
      <c r="C609" t="s">
        <v>6</v>
      </c>
      <c r="D609" t="s">
        <v>95</v>
      </c>
    </row>
    <row r="610" spans="1:4" x14ac:dyDescent="0.6">
      <c r="A610" t="s">
        <v>55</v>
      </c>
      <c r="B610" t="s">
        <v>121</v>
      </c>
      <c r="C610" t="s">
        <v>6</v>
      </c>
      <c r="D610" t="s">
        <v>92</v>
      </c>
    </row>
    <row r="611" spans="1:4" x14ac:dyDescent="0.6">
      <c r="A611" t="s">
        <v>55</v>
      </c>
      <c r="B611" t="s">
        <v>121</v>
      </c>
      <c r="C611" t="s">
        <v>3</v>
      </c>
      <c r="D611" t="s">
        <v>117</v>
      </c>
    </row>
    <row r="612" spans="1:4" x14ac:dyDescent="0.6">
      <c r="A612" t="s">
        <v>55</v>
      </c>
      <c r="B612" t="s">
        <v>121</v>
      </c>
      <c r="C612" t="s">
        <v>3</v>
      </c>
      <c r="D612" t="s">
        <v>116</v>
      </c>
    </row>
    <row r="613" spans="1:4" x14ac:dyDescent="0.6">
      <c r="A613" t="s">
        <v>55</v>
      </c>
      <c r="B613" t="s">
        <v>121</v>
      </c>
      <c r="C613" t="s">
        <v>3</v>
      </c>
      <c r="D613" t="s">
        <v>115</v>
      </c>
    </row>
    <row r="614" spans="1:4" x14ac:dyDescent="0.6">
      <c r="A614" t="s">
        <v>55</v>
      </c>
      <c r="B614" t="s">
        <v>121</v>
      </c>
      <c r="C614" t="s">
        <v>3</v>
      </c>
      <c r="D614" t="s">
        <v>114</v>
      </c>
    </row>
    <row r="615" spans="1:4" x14ac:dyDescent="0.6">
      <c r="A615" t="s">
        <v>55</v>
      </c>
      <c r="B615" t="s">
        <v>121</v>
      </c>
      <c r="C615" t="s">
        <v>3</v>
      </c>
      <c r="D615" t="s">
        <v>113</v>
      </c>
    </row>
    <row r="616" spans="1:4" x14ac:dyDescent="0.6">
      <c r="A616" t="s">
        <v>55</v>
      </c>
      <c r="B616" t="s">
        <v>121</v>
      </c>
      <c r="C616" t="s">
        <v>3</v>
      </c>
      <c r="D616" t="s">
        <v>95</v>
      </c>
    </row>
    <row r="617" spans="1:4" x14ac:dyDescent="0.6">
      <c r="A617" t="s">
        <v>55</v>
      </c>
      <c r="B617" t="s">
        <v>121</v>
      </c>
      <c r="C617" t="s">
        <v>3</v>
      </c>
      <c r="D617" t="s">
        <v>92</v>
      </c>
    </row>
    <row r="618" spans="1:4" x14ac:dyDescent="0.6">
      <c r="A618" t="s">
        <v>55</v>
      </c>
      <c r="B618" t="s">
        <v>121</v>
      </c>
      <c r="C618" t="s">
        <v>2</v>
      </c>
      <c r="D618" t="s">
        <v>117</v>
      </c>
    </row>
    <row r="619" spans="1:4" x14ac:dyDescent="0.6">
      <c r="A619" t="s">
        <v>55</v>
      </c>
      <c r="B619" t="s">
        <v>121</v>
      </c>
      <c r="C619" t="s">
        <v>2</v>
      </c>
      <c r="D619" t="s">
        <v>116</v>
      </c>
    </row>
    <row r="620" spans="1:4" x14ac:dyDescent="0.6">
      <c r="A620" t="s">
        <v>55</v>
      </c>
      <c r="B620" t="s">
        <v>121</v>
      </c>
      <c r="C620" t="s">
        <v>2</v>
      </c>
      <c r="D620" t="s">
        <v>115</v>
      </c>
    </row>
    <row r="621" spans="1:4" x14ac:dyDescent="0.6">
      <c r="A621" t="s">
        <v>55</v>
      </c>
      <c r="B621" t="s">
        <v>121</v>
      </c>
      <c r="C621" t="s">
        <v>2</v>
      </c>
      <c r="D621" t="s">
        <v>114</v>
      </c>
    </row>
    <row r="622" spans="1:4" x14ac:dyDescent="0.6">
      <c r="A622" t="s">
        <v>55</v>
      </c>
      <c r="B622" t="s">
        <v>121</v>
      </c>
      <c r="C622" t="s">
        <v>2</v>
      </c>
      <c r="D622" t="s">
        <v>113</v>
      </c>
    </row>
    <row r="623" spans="1:4" x14ac:dyDescent="0.6">
      <c r="A623" t="s">
        <v>55</v>
      </c>
      <c r="B623" t="s">
        <v>121</v>
      </c>
      <c r="C623" t="s">
        <v>2</v>
      </c>
      <c r="D623" t="s">
        <v>95</v>
      </c>
    </row>
    <row r="624" spans="1:4" x14ac:dyDescent="0.6">
      <c r="A624" t="s">
        <v>55</v>
      </c>
      <c r="B624" t="s">
        <v>121</v>
      </c>
      <c r="C624" t="s">
        <v>2</v>
      </c>
      <c r="D624" t="s">
        <v>92</v>
      </c>
    </row>
    <row r="625" spans="1:5" x14ac:dyDescent="0.6">
      <c r="A625" t="s">
        <v>55</v>
      </c>
      <c r="B625" t="s">
        <v>121</v>
      </c>
      <c r="C625" t="s">
        <v>82</v>
      </c>
      <c r="D625" t="s">
        <v>117</v>
      </c>
    </row>
    <row r="626" spans="1:5" x14ac:dyDescent="0.6">
      <c r="A626" t="s">
        <v>55</v>
      </c>
      <c r="B626" t="s">
        <v>121</v>
      </c>
      <c r="C626" t="s">
        <v>82</v>
      </c>
      <c r="D626" t="s">
        <v>116</v>
      </c>
    </row>
    <row r="627" spans="1:5" x14ac:dyDescent="0.6">
      <c r="A627" t="s">
        <v>55</v>
      </c>
      <c r="B627" t="s">
        <v>121</v>
      </c>
      <c r="C627" t="s">
        <v>82</v>
      </c>
      <c r="D627" t="s">
        <v>115</v>
      </c>
    </row>
    <row r="628" spans="1:5" x14ac:dyDescent="0.6">
      <c r="A628" t="s">
        <v>55</v>
      </c>
      <c r="B628" t="s">
        <v>121</v>
      </c>
      <c r="C628" t="s">
        <v>82</v>
      </c>
      <c r="D628" t="s">
        <v>114</v>
      </c>
    </row>
    <row r="629" spans="1:5" x14ac:dyDescent="0.6">
      <c r="A629" t="s">
        <v>55</v>
      </c>
      <c r="B629" t="s">
        <v>121</v>
      </c>
      <c r="C629" t="s">
        <v>82</v>
      </c>
      <c r="D629" t="s">
        <v>113</v>
      </c>
    </row>
    <row r="630" spans="1:5" x14ac:dyDescent="0.6">
      <c r="A630" t="s">
        <v>55</v>
      </c>
      <c r="B630" t="s">
        <v>121</v>
      </c>
      <c r="C630" t="s">
        <v>82</v>
      </c>
      <c r="D630" t="s">
        <v>95</v>
      </c>
    </row>
    <row r="631" spans="1:5" x14ac:dyDescent="0.6">
      <c r="A631" t="s">
        <v>55</v>
      </c>
      <c r="B631" t="s">
        <v>121</v>
      </c>
      <c r="C631" t="s">
        <v>82</v>
      </c>
      <c r="D631" t="s">
        <v>92</v>
      </c>
    </row>
    <row r="632" spans="1:5" x14ac:dyDescent="0.6">
      <c r="A632" t="s">
        <v>55</v>
      </c>
      <c r="B632" t="s">
        <v>121</v>
      </c>
      <c r="C632" t="s">
        <v>89</v>
      </c>
      <c r="D632" t="s">
        <v>117</v>
      </c>
      <c r="E632">
        <v>0</v>
      </c>
    </row>
    <row r="633" spans="1:5" x14ac:dyDescent="0.6">
      <c r="A633" t="s">
        <v>55</v>
      </c>
      <c r="B633" t="s">
        <v>121</v>
      </c>
      <c r="C633" t="s">
        <v>89</v>
      </c>
      <c r="D633" t="s">
        <v>116</v>
      </c>
      <c r="E633">
        <v>0</v>
      </c>
    </row>
    <row r="634" spans="1:5" x14ac:dyDescent="0.6">
      <c r="A634" t="s">
        <v>55</v>
      </c>
      <c r="B634" t="s">
        <v>121</v>
      </c>
      <c r="C634" t="s">
        <v>89</v>
      </c>
      <c r="D634" t="s">
        <v>115</v>
      </c>
      <c r="E634">
        <v>0</v>
      </c>
    </row>
    <row r="635" spans="1:5" x14ac:dyDescent="0.6">
      <c r="A635" t="s">
        <v>55</v>
      </c>
      <c r="B635" t="s">
        <v>121</v>
      </c>
      <c r="C635" t="s">
        <v>89</v>
      </c>
      <c r="D635" t="s">
        <v>114</v>
      </c>
      <c r="E635">
        <v>12413.65</v>
      </c>
    </row>
    <row r="636" spans="1:5" x14ac:dyDescent="0.6">
      <c r="A636" t="s">
        <v>55</v>
      </c>
      <c r="B636" t="s">
        <v>121</v>
      </c>
      <c r="C636" t="s">
        <v>89</v>
      </c>
      <c r="D636" t="s">
        <v>113</v>
      </c>
      <c r="E636">
        <v>0</v>
      </c>
    </row>
    <row r="637" spans="1:5" x14ac:dyDescent="0.6">
      <c r="A637" t="s">
        <v>55</v>
      </c>
      <c r="B637" t="s">
        <v>121</v>
      </c>
      <c r="C637" t="s">
        <v>89</v>
      </c>
      <c r="D637" t="s">
        <v>95</v>
      </c>
      <c r="E637">
        <v>10787.25</v>
      </c>
    </row>
    <row r="638" spans="1:5" x14ac:dyDescent="0.6">
      <c r="A638" t="s">
        <v>55</v>
      </c>
      <c r="B638" t="s">
        <v>121</v>
      </c>
      <c r="C638" t="s">
        <v>89</v>
      </c>
      <c r="D638" t="s">
        <v>92</v>
      </c>
      <c r="E638">
        <v>28265.35</v>
      </c>
    </row>
    <row r="639" spans="1:5" x14ac:dyDescent="0.6">
      <c r="A639" t="s">
        <v>55</v>
      </c>
      <c r="B639" t="s">
        <v>121</v>
      </c>
      <c r="C639" t="s">
        <v>1</v>
      </c>
      <c r="D639" t="s">
        <v>117</v>
      </c>
      <c r="E639">
        <v>0</v>
      </c>
    </row>
    <row r="640" spans="1:5" x14ac:dyDescent="0.6">
      <c r="A640" t="s">
        <v>55</v>
      </c>
      <c r="B640" t="s">
        <v>121</v>
      </c>
      <c r="C640" t="s">
        <v>1</v>
      </c>
      <c r="D640" t="s">
        <v>116</v>
      </c>
      <c r="E640">
        <v>0</v>
      </c>
    </row>
    <row r="641" spans="1:5" x14ac:dyDescent="0.6">
      <c r="A641" t="s">
        <v>55</v>
      </c>
      <c r="B641" t="s">
        <v>121</v>
      </c>
      <c r="C641" t="s">
        <v>1</v>
      </c>
      <c r="D641" t="s">
        <v>115</v>
      </c>
      <c r="E641">
        <v>0</v>
      </c>
    </row>
    <row r="642" spans="1:5" x14ac:dyDescent="0.6">
      <c r="A642" t="s">
        <v>55</v>
      </c>
      <c r="B642" t="s">
        <v>121</v>
      </c>
      <c r="C642" t="s">
        <v>1</v>
      </c>
      <c r="D642" t="s">
        <v>114</v>
      </c>
      <c r="E642">
        <v>0</v>
      </c>
    </row>
    <row r="643" spans="1:5" x14ac:dyDescent="0.6">
      <c r="A643" t="s">
        <v>55</v>
      </c>
      <c r="B643" t="s">
        <v>121</v>
      </c>
      <c r="C643" t="s">
        <v>1</v>
      </c>
      <c r="D643" t="s">
        <v>113</v>
      </c>
      <c r="E643">
        <v>0</v>
      </c>
    </row>
    <row r="644" spans="1:5" x14ac:dyDescent="0.6">
      <c r="A644" t="s">
        <v>55</v>
      </c>
      <c r="B644" t="s">
        <v>121</v>
      </c>
      <c r="C644" t="s">
        <v>1</v>
      </c>
      <c r="D644" t="s">
        <v>95</v>
      </c>
      <c r="E644">
        <v>0</v>
      </c>
    </row>
    <row r="645" spans="1:5" x14ac:dyDescent="0.6">
      <c r="A645" t="s">
        <v>55</v>
      </c>
      <c r="B645" t="s">
        <v>121</v>
      </c>
      <c r="C645" t="s">
        <v>1</v>
      </c>
      <c r="D645" t="s">
        <v>92</v>
      </c>
      <c r="E645">
        <v>22292.52</v>
      </c>
    </row>
    <row r="646" spans="1:5" x14ac:dyDescent="0.6">
      <c r="A646" t="s">
        <v>55</v>
      </c>
      <c r="B646" t="s">
        <v>123</v>
      </c>
      <c r="C646" t="s">
        <v>7</v>
      </c>
    </row>
    <row r="647" spans="1:5" x14ac:dyDescent="0.6">
      <c r="A647" t="s">
        <v>55</v>
      </c>
      <c r="B647" t="s">
        <v>123</v>
      </c>
      <c r="C647" t="s">
        <v>7</v>
      </c>
      <c r="D647" t="s">
        <v>116</v>
      </c>
    </row>
    <row r="648" spans="1:5" x14ac:dyDescent="0.6">
      <c r="A648" t="s">
        <v>55</v>
      </c>
      <c r="B648" t="s">
        <v>123</v>
      </c>
      <c r="C648" t="s">
        <v>7</v>
      </c>
      <c r="D648" t="s">
        <v>115</v>
      </c>
    </row>
    <row r="649" spans="1:5" x14ac:dyDescent="0.6">
      <c r="A649" t="s">
        <v>55</v>
      </c>
      <c r="B649" t="s">
        <v>123</v>
      </c>
      <c r="C649" t="s">
        <v>7</v>
      </c>
      <c r="D649" t="s">
        <v>114</v>
      </c>
    </row>
    <row r="650" spans="1:5" x14ac:dyDescent="0.6">
      <c r="A650" t="s">
        <v>55</v>
      </c>
      <c r="B650" t="s">
        <v>123</v>
      </c>
      <c r="C650" t="s">
        <v>7</v>
      </c>
      <c r="D650" t="s">
        <v>113</v>
      </c>
    </row>
    <row r="651" spans="1:5" x14ac:dyDescent="0.6">
      <c r="A651" t="s">
        <v>55</v>
      </c>
      <c r="B651" t="s">
        <v>123</v>
      </c>
      <c r="C651" t="s">
        <v>7</v>
      </c>
      <c r="D651" t="s">
        <v>95</v>
      </c>
    </row>
    <row r="652" spans="1:5" x14ac:dyDescent="0.6">
      <c r="A652" t="s">
        <v>55</v>
      </c>
      <c r="B652" t="s">
        <v>123</v>
      </c>
      <c r="C652" t="s">
        <v>7</v>
      </c>
      <c r="D652" t="s">
        <v>92</v>
      </c>
    </row>
    <row r="653" spans="1:5" x14ac:dyDescent="0.6">
      <c r="A653" t="s">
        <v>55</v>
      </c>
      <c r="B653" t="s">
        <v>123</v>
      </c>
      <c r="C653" t="s">
        <v>4</v>
      </c>
      <c r="D653" t="s">
        <v>117</v>
      </c>
    </row>
    <row r="654" spans="1:5" x14ac:dyDescent="0.6">
      <c r="A654" t="s">
        <v>55</v>
      </c>
      <c r="B654" t="s">
        <v>123</v>
      </c>
      <c r="C654" t="s">
        <v>4</v>
      </c>
      <c r="D654" t="s">
        <v>116</v>
      </c>
    </row>
    <row r="655" spans="1:5" x14ac:dyDescent="0.6">
      <c r="A655" t="s">
        <v>55</v>
      </c>
      <c r="B655" t="s">
        <v>123</v>
      </c>
      <c r="C655" t="s">
        <v>4</v>
      </c>
      <c r="D655" t="s">
        <v>115</v>
      </c>
    </row>
    <row r="656" spans="1:5" x14ac:dyDescent="0.6">
      <c r="A656" t="s">
        <v>55</v>
      </c>
      <c r="B656" t="s">
        <v>123</v>
      </c>
      <c r="C656" t="s">
        <v>4</v>
      </c>
      <c r="D656" t="s">
        <v>114</v>
      </c>
    </row>
    <row r="657" spans="1:4" x14ac:dyDescent="0.6">
      <c r="A657" t="s">
        <v>55</v>
      </c>
      <c r="B657" t="s">
        <v>123</v>
      </c>
      <c r="C657" t="s">
        <v>4</v>
      </c>
      <c r="D657" t="s">
        <v>113</v>
      </c>
    </row>
    <row r="658" spans="1:4" x14ac:dyDescent="0.6">
      <c r="A658" t="s">
        <v>55</v>
      </c>
      <c r="B658" t="s">
        <v>123</v>
      </c>
      <c r="C658" t="s">
        <v>4</v>
      </c>
      <c r="D658" t="s">
        <v>95</v>
      </c>
    </row>
    <row r="659" spans="1:4" x14ac:dyDescent="0.6">
      <c r="A659" t="s">
        <v>55</v>
      </c>
      <c r="B659" t="s">
        <v>123</v>
      </c>
      <c r="C659" t="s">
        <v>4</v>
      </c>
      <c r="D659" t="s">
        <v>92</v>
      </c>
    </row>
    <row r="660" spans="1:4" x14ac:dyDescent="0.6">
      <c r="A660" t="s">
        <v>55</v>
      </c>
      <c r="B660" t="s">
        <v>123</v>
      </c>
      <c r="C660" t="s">
        <v>90</v>
      </c>
      <c r="D660" t="s">
        <v>117</v>
      </c>
    </row>
    <row r="661" spans="1:4" x14ac:dyDescent="0.6">
      <c r="A661" t="s">
        <v>55</v>
      </c>
      <c r="B661" t="s">
        <v>123</v>
      </c>
      <c r="C661" t="s">
        <v>90</v>
      </c>
      <c r="D661" t="s">
        <v>116</v>
      </c>
    </row>
    <row r="662" spans="1:4" x14ac:dyDescent="0.6">
      <c r="A662" t="s">
        <v>55</v>
      </c>
      <c r="B662" t="s">
        <v>123</v>
      </c>
      <c r="C662" t="s">
        <v>90</v>
      </c>
      <c r="D662" t="s">
        <v>115</v>
      </c>
    </row>
    <row r="663" spans="1:4" x14ac:dyDescent="0.6">
      <c r="A663" t="s">
        <v>55</v>
      </c>
      <c r="B663" t="s">
        <v>123</v>
      </c>
      <c r="C663" t="s">
        <v>90</v>
      </c>
      <c r="D663" t="s">
        <v>114</v>
      </c>
    </row>
    <row r="664" spans="1:4" x14ac:dyDescent="0.6">
      <c r="A664" t="s">
        <v>55</v>
      </c>
      <c r="B664" t="s">
        <v>123</v>
      </c>
      <c r="C664" t="s">
        <v>90</v>
      </c>
      <c r="D664" t="s">
        <v>113</v>
      </c>
    </row>
    <row r="665" spans="1:4" x14ac:dyDescent="0.6">
      <c r="A665" t="s">
        <v>55</v>
      </c>
      <c r="B665" t="s">
        <v>123</v>
      </c>
      <c r="C665" t="s">
        <v>90</v>
      </c>
      <c r="D665" t="s">
        <v>95</v>
      </c>
    </row>
    <row r="666" spans="1:4" x14ac:dyDescent="0.6">
      <c r="A666" t="s">
        <v>55</v>
      </c>
      <c r="B666" t="s">
        <v>123</v>
      </c>
      <c r="C666" t="s">
        <v>90</v>
      </c>
      <c r="D666" t="s">
        <v>92</v>
      </c>
    </row>
    <row r="667" spans="1:4" x14ac:dyDescent="0.6">
      <c r="A667" t="s">
        <v>55</v>
      </c>
      <c r="B667" t="s">
        <v>123</v>
      </c>
      <c r="C667" t="s">
        <v>6</v>
      </c>
      <c r="D667" t="s">
        <v>117</v>
      </c>
    </row>
    <row r="668" spans="1:4" x14ac:dyDescent="0.6">
      <c r="A668" t="s">
        <v>55</v>
      </c>
      <c r="B668" t="s">
        <v>123</v>
      </c>
      <c r="C668" t="s">
        <v>6</v>
      </c>
      <c r="D668" t="s">
        <v>116</v>
      </c>
    </row>
    <row r="669" spans="1:4" x14ac:dyDescent="0.6">
      <c r="A669" t="s">
        <v>55</v>
      </c>
      <c r="B669" t="s">
        <v>123</v>
      </c>
      <c r="C669" t="s">
        <v>6</v>
      </c>
      <c r="D669" t="s">
        <v>115</v>
      </c>
    </row>
    <row r="670" spans="1:4" x14ac:dyDescent="0.6">
      <c r="A670" t="s">
        <v>55</v>
      </c>
      <c r="B670" t="s">
        <v>123</v>
      </c>
      <c r="C670" t="s">
        <v>6</v>
      </c>
      <c r="D670" t="s">
        <v>114</v>
      </c>
    </row>
    <row r="671" spans="1:4" x14ac:dyDescent="0.6">
      <c r="A671" t="s">
        <v>55</v>
      </c>
      <c r="B671" t="s">
        <v>123</v>
      </c>
      <c r="C671" t="s">
        <v>6</v>
      </c>
      <c r="D671" t="s">
        <v>113</v>
      </c>
    </row>
    <row r="672" spans="1:4" x14ac:dyDescent="0.6">
      <c r="A672" t="s">
        <v>55</v>
      </c>
      <c r="B672" t="s">
        <v>123</v>
      </c>
      <c r="C672" t="s">
        <v>6</v>
      </c>
      <c r="D672" t="s">
        <v>95</v>
      </c>
    </row>
    <row r="673" spans="1:5" x14ac:dyDescent="0.6">
      <c r="A673" t="s">
        <v>55</v>
      </c>
      <c r="B673" t="s">
        <v>123</v>
      </c>
      <c r="C673" t="s">
        <v>6</v>
      </c>
      <c r="D673" t="s">
        <v>92</v>
      </c>
    </row>
    <row r="674" spans="1:5" x14ac:dyDescent="0.6">
      <c r="A674" t="s">
        <v>55</v>
      </c>
      <c r="B674" t="s">
        <v>123</v>
      </c>
      <c r="C674" t="s">
        <v>3</v>
      </c>
      <c r="D674" t="s">
        <v>117</v>
      </c>
    </row>
    <row r="675" spans="1:5" x14ac:dyDescent="0.6">
      <c r="A675" t="s">
        <v>55</v>
      </c>
      <c r="B675" t="s">
        <v>123</v>
      </c>
      <c r="C675" t="s">
        <v>3</v>
      </c>
      <c r="D675" t="s">
        <v>116</v>
      </c>
      <c r="E675">
        <v>1185.5</v>
      </c>
    </row>
    <row r="676" spans="1:5" x14ac:dyDescent="0.6">
      <c r="A676" t="s">
        <v>55</v>
      </c>
      <c r="B676" t="s">
        <v>123</v>
      </c>
      <c r="C676" t="s">
        <v>3</v>
      </c>
      <c r="D676" t="s">
        <v>115</v>
      </c>
    </row>
    <row r="677" spans="1:5" x14ac:dyDescent="0.6">
      <c r="A677" t="s">
        <v>55</v>
      </c>
      <c r="B677" t="s">
        <v>123</v>
      </c>
      <c r="C677" t="s">
        <v>3</v>
      </c>
      <c r="D677" t="s">
        <v>114</v>
      </c>
    </row>
    <row r="678" spans="1:5" x14ac:dyDescent="0.6">
      <c r="A678" t="s">
        <v>55</v>
      </c>
      <c r="B678" t="s">
        <v>123</v>
      </c>
      <c r="C678" t="s">
        <v>3</v>
      </c>
      <c r="D678" t="s">
        <v>113</v>
      </c>
    </row>
    <row r="679" spans="1:5" x14ac:dyDescent="0.6">
      <c r="A679" t="s">
        <v>55</v>
      </c>
      <c r="B679" t="s">
        <v>123</v>
      </c>
      <c r="C679" t="s">
        <v>3</v>
      </c>
      <c r="D679" t="s">
        <v>95</v>
      </c>
      <c r="E679">
        <v>6146</v>
      </c>
    </row>
    <row r="680" spans="1:5" x14ac:dyDescent="0.6">
      <c r="A680" t="s">
        <v>55</v>
      </c>
      <c r="B680" t="s">
        <v>123</v>
      </c>
      <c r="C680" t="s">
        <v>3</v>
      </c>
      <c r="D680" t="s">
        <v>92</v>
      </c>
      <c r="E680">
        <v>7045</v>
      </c>
    </row>
    <row r="681" spans="1:5" x14ac:dyDescent="0.6">
      <c r="A681" t="s">
        <v>55</v>
      </c>
      <c r="B681" t="s">
        <v>123</v>
      </c>
      <c r="C681" t="s">
        <v>2</v>
      </c>
      <c r="D681" t="s">
        <v>117</v>
      </c>
    </row>
    <row r="682" spans="1:5" x14ac:dyDescent="0.6">
      <c r="A682" t="s">
        <v>55</v>
      </c>
      <c r="B682" t="s">
        <v>123</v>
      </c>
      <c r="C682" t="s">
        <v>2</v>
      </c>
      <c r="D682" t="s">
        <v>116</v>
      </c>
    </row>
    <row r="683" spans="1:5" x14ac:dyDescent="0.6">
      <c r="A683" t="s">
        <v>55</v>
      </c>
      <c r="B683" t="s">
        <v>123</v>
      </c>
      <c r="C683" t="s">
        <v>2</v>
      </c>
      <c r="D683" t="s">
        <v>115</v>
      </c>
    </row>
    <row r="684" spans="1:5" x14ac:dyDescent="0.6">
      <c r="A684" t="s">
        <v>55</v>
      </c>
      <c r="B684" t="s">
        <v>123</v>
      </c>
      <c r="C684" t="s">
        <v>2</v>
      </c>
      <c r="D684" t="s">
        <v>114</v>
      </c>
    </row>
    <row r="685" spans="1:5" x14ac:dyDescent="0.6">
      <c r="A685" t="s">
        <v>55</v>
      </c>
      <c r="B685" t="s">
        <v>123</v>
      </c>
      <c r="C685" t="s">
        <v>2</v>
      </c>
      <c r="D685" t="s">
        <v>113</v>
      </c>
    </row>
    <row r="686" spans="1:5" x14ac:dyDescent="0.6">
      <c r="A686" t="s">
        <v>55</v>
      </c>
      <c r="B686" t="s">
        <v>123</v>
      </c>
      <c r="C686" t="s">
        <v>2</v>
      </c>
      <c r="D686" t="s">
        <v>95</v>
      </c>
    </row>
    <row r="687" spans="1:5" x14ac:dyDescent="0.6">
      <c r="A687" t="s">
        <v>55</v>
      </c>
      <c r="B687" t="s">
        <v>123</v>
      </c>
      <c r="C687" t="s">
        <v>2</v>
      </c>
      <c r="D687" t="s">
        <v>92</v>
      </c>
    </row>
    <row r="688" spans="1:5" x14ac:dyDescent="0.6">
      <c r="A688" t="s">
        <v>55</v>
      </c>
      <c r="B688" t="s">
        <v>123</v>
      </c>
      <c r="C688" t="s">
        <v>82</v>
      </c>
      <c r="D688" t="s">
        <v>117</v>
      </c>
    </row>
    <row r="689" spans="1:5" x14ac:dyDescent="0.6">
      <c r="A689" t="s">
        <v>55</v>
      </c>
      <c r="B689" t="s">
        <v>123</v>
      </c>
      <c r="C689" t="s">
        <v>82</v>
      </c>
      <c r="D689" t="s">
        <v>116</v>
      </c>
    </row>
    <row r="690" spans="1:5" x14ac:dyDescent="0.6">
      <c r="A690" t="s">
        <v>55</v>
      </c>
      <c r="B690" t="s">
        <v>123</v>
      </c>
      <c r="C690" t="s">
        <v>82</v>
      </c>
      <c r="D690" t="s">
        <v>115</v>
      </c>
    </row>
    <row r="691" spans="1:5" x14ac:dyDescent="0.6">
      <c r="A691" t="s">
        <v>55</v>
      </c>
      <c r="B691" t="s">
        <v>123</v>
      </c>
      <c r="C691" t="s">
        <v>82</v>
      </c>
      <c r="D691" t="s">
        <v>114</v>
      </c>
    </row>
    <row r="692" spans="1:5" x14ac:dyDescent="0.6">
      <c r="A692" t="s">
        <v>55</v>
      </c>
      <c r="B692" t="s">
        <v>123</v>
      </c>
      <c r="C692" t="s">
        <v>82</v>
      </c>
      <c r="D692" t="s">
        <v>113</v>
      </c>
    </row>
    <row r="693" spans="1:5" x14ac:dyDescent="0.6">
      <c r="A693" t="s">
        <v>55</v>
      </c>
      <c r="B693" t="s">
        <v>123</v>
      </c>
      <c r="C693" t="s">
        <v>82</v>
      </c>
      <c r="D693" t="s">
        <v>95</v>
      </c>
    </row>
    <row r="694" spans="1:5" x14ac:dyDescent="0.6">
      <c r="A694" t="s">
        <v>55</v>
      </c>
      <c r="B694" t="s">
        <v>123</v>
      </c>
      <c r="C694" t="s">
        <v>82</v>
      </c>
      <c r="D694" t="s">
        <v>92</v>
      </c>
    </row>
    <row r="695" spans="1:5" x14ac:dyDescent="0.6">
      <c r="A695" t="s">
        <v>55</v>
      </c>
      <c r="B695" t="s">
        <v>123</v>
      </c>
      <c r="C695" t="s">
        <v>89</v>
      </c>
      <c r="D695" t="s">
        <v>117</v>
      </c>
      <c r="E695">
        <v>0</v>
      </c>
    </row>
    <row r="696" spans="1:5" x14ac:dyDescent="0.6">
      <c r="A696" t="s">
        <v>55</v>
      </c>
      <c r="B696" t="s">
        <v>123</v>
      </c>
      <c r="C696" t="s">
        <v>89</v>
      </c>
      <c r="D696" t="s">
        <v>116</v>
      </c>
      <c r="E696">
        <v>85522.8</v>
      </c>
    </row>
    <row r="697" spans="1:5" x14ac:dyDescent="0.6">
      <c r="A697" t="s">
        <v>55</v>
      </c>
      <c r="B697" t="s">
        <v>123</v>
      </c>
      <c r="C697" t="s">
        <v>89</v>
      </c>
      <c r="D697" t="s">
        <v>115</v>
      </c>
      <c r="E697">
        <v>0</v>
      </c>
    </row>
    <row r="698" spans="1:5" x14ac:dyDescent="0.6">
      <c r="A698" t="s">
        <v>55</v>
      </c>
      <c r="B698" t="s">
        <v>123</v>
      </c>
      <c r="C698" t="s">
        <v>89</v>
      </c>
      <c r="D698" t="s">
        <v>114</v>
      </c>
      <c r="E698">
        <v>25314.65</v>
      </c>
    </row>
    <row r="699" spans="1:5" x14ac:dyDescent="0.6">
      <c r="A699" t="s">
        <v>55</v>
      </c>
      <c r="B699" t="s">
        <v>123</v>
      </c>
      <c r="C699" t="s">
        <v>89</v>
      </c>
      <c r="D699" t="s">
        <v>113</v>
      </c>
      <c r="E699">
        <v>71839</v>
      </c>
    </row>
    <row r="700" spans="1:5" x14ac:dyDescent="0.6">
      <c r="A700" t="s">
        <v>55</v>
      </c>
      <c r="B700" t="s">
        <v>123</v>
      </c>
      <c r="C700" t="s">
        <v>89</v>
      </c>
      <c r="D700" t="s">
        <v>95</v>
      </c>
      <c r="E700">
        <v>121784.3</v>
      </c>
    </row>
    <row r="701" spans="1:5" x14ac:dyDescent="0.6">
      <c r="A701" t="s">
        <v>55</v>
      </c>
      <c r="B701" t="s">
        <v>123</v>
      </c>
      <c r="C701" t="s">
        <v>89</v>
      </c>
      <c r="D701" t="s">
        <v>92</v>
      </c>
      <c r="E701">
        <v>60481.75</v>
      </c>
    </row>
    <row r="702" spans="1:5" x14ac:dyDescent="0.6">
      <c r="A702" t="s">
        <v>55</v>
      </c>
      <c r="B702" t="s">
        <v>123</v>
      </c>
      <c r="C702" t="s">
        <v>1</v>
      </c>
      <c r="D702" t="s">
        <v>117</v>
      </c>
      <c r="E702">
        <v>0</v>
      </c>
    </row>
    <row r="703" spans="1:5" x14ac:dyDescent="0.6">
      <c r="A703" t="s">
        <v>55</v>
      </c>
      <c r="B703" t="s">
        <v>123</v>
      </c>
      <c r="C703" t="s">
        <v>1</v>
      </c>
      <c r="D703" t="s">
        <v>116</v>
      </c>
      <c r="E703">
        <v>199843.06589999999</v>
      </c>
    </row>
    <row r="704" spans="1:5" x14ac:dyDescent="0.6">
      <c r="A704" t="s">
        <v>55</v>
      </c>
      <c r="B704" t="s">
        <v>123</v>
      </c>
      <c r="C704" t="s">
        <v>1</v>
      </c>
      <c r="D704" t="s">
        <v>115</v>
      </c>
      <c r="E704">
        <v>0</v>
      </c>
    </row>
    <row r="705" spans="1:5" x14ac:dyDescent="0.6">
      <c r="A705" t="s">
        <v>55</v>
      </c>
      <c r="B705" t="s">
        <v>123</v>
      </c>
      <c r="C705" t="s">
        <v>1</v>
      </c>
      <c r="D705" t="s">
        <v>114</v>
      </c>
      <c r="E705">
        <v>0</v>
      </c>
    </row>
    <row r="706" spans="1:5" x14ac:dyDescent="0.6">
      <c r="A706" t="s">
        <v>55</v>
      </c>
      <c r="B706" t="s">
        <v>123</v>
      </c>
      <c r="C706" t="s">
        <v>1</v>
      </c>
      <c r="D706" t="s">
        <v>113</v>
      </c>
      <c r="E706">
        <v>0</v>
      </c>
    </row>
    <row r="707" spans="1:5" x14ac:dyDescent="0.6">
      <c r="A707" t="s">
        <v>55</v>
      </c>
      <c r="B707" t="s">
        <v>123</v>
      </c>
      <c r="C707" t="s">
        <v>1</v>
      </c>
      <c r="D707" t="s">
        <v>95</v>
      </c>
      <c r="E707">
        <v>344695.08419999998</v>
      </c>
    </row>
    <row r="708" spans="1:5" x14ac:dyDescent="0.6">
      <c r="A708" t="s">
        <v>55</v>
      </c>
      <c r="B708" t="s">
        <v>123</v>
      </c>
      <c r="C708" t="s">
        <v>1</v>
      </c>
      <c r="D708" t="s">
        <v>92</v>
      </c>
      <c r="E708">
        <v>364814.2965</v>
      </c>
    </row>
    <row r="709" spans="1:5" x14ac:dyDescent="0.6">
      <c r="A709" t="s">
        <v>55</v>
      </c>
      <c r="B709" t="s">
        <v>119</v>
      </c>
      <c r="C709" t="s">
        <v>7</v>
      </c>
    </row>
    <row r="710" spans="1:5" x14ac:dyDescent="0.6">
      <c r="A710" t="s">
        <v>55</v>
      </c>
      <c r="B710" t="s">
        <v>119</v>
      </c>
      <c r="C710" t="s">
        <v>7</v>
      </c>
      <c r="D710" t="s">
        <v>116</v>
      </c>
    </row>
    <row r="711" spans="1:5" x14ac:dyDescent="0.6">
      <c r="A711" t="s">
        <v>55</v>
      </c>
      <c r="B711" t="s">
        <v>119</v>
      </c>
      <c r="C711" t="s">
        <v>7</v>
      </c>
      <c r="D711" t="s">
        <v>115</v>
      </c>
    </row>
    <row r="712" spans="1:5" x14ac:dyDescent="0.6">
      <c r="A712" t="s">
        <v>55</v>
      </c>
      <c r="B712" t="s">
        <v>119</v>
      </c>
      <c r="C712" t="s">
        <v>7</v>
      </c>
      <c r="D712" t="s">
        <v>114</v>
      </c>
    </row>
    <row r="713" spans="1:5" x14ac:dyDescent="0.6">
      <c r="A713" t="s">
        <v>55</v>
      </c>
      <c r="B713" t="s">
        <v>119</v>
      </c>
      <c r="C713" t="s">
        <v>7</v>
      </c>
      <c r="D713" t="s">
        <v>113</v>
      </c>
    </row>
    <row r="714" spans="1:5" x14ac:dyDescent="0.6">
      <c r="A714" t="s">
        <v>55</v>
      </c>
      <c r="B714" t="s">
        <v>119</v>
      </c>
      <c r="C714" t="s">
        <v>7</v>
      </c>
      <c r="D714" t="s">
        <v>95</v>
      </c>
    </row>
    <row r="715" spans="1:5" x14ac:dyDescent="0.6">
      <c r="A715" t="s">
        <v>55</v>
      </c>
      <c r="B715" t="s">
        <v>119</v>
      </c>
      <c r="C715" t="s">
        <v>7</v>
      </c>
      <c r="D715" t="s">
        <v>92</v>
      </c>
    </row>
    <row r="716" spans="1:5" x14ac:dyDescent="0.6">
      <c r="A716" t="s">
        <v>55</v>
      </c>
      <c r="B716" t="s">
        <v>119</v>
      </c>
      <c r="C716" t="s">
        <v>4</v>
      </c>
      <c r="D716" t="s">
        <v>117</v>
      </c>
    </row>
    <row r="717" spans="1:5" x14ac:dyDescent="0.6">
      <c r="A717" t="s">
        <v>55</v>
      </c>
      <c r="B717" t="s">
        <v>119</v>
      </c>
      <c r="C717" t="s">
        <v>4</v>
      </c>
      <c r="D717" t="s">
        <v>116</v>
      </c>
    </row>
    <row r="718" spans="1:5" x14ac:dyDescent="0.6">
      <c r="A718" t="s">
        <v>55</v>
      </c>
      <c r="B718" t="s">
        <v>119</v>
      </c>
      <c r="C718" t="s">
        <v>4</v>
      </c>
      <c r="D718" t="s">
        <v>115</v>
      </c>
    </row>
    <row r="719" spans="1:5" x14ac:dyDescent="0.6">
      <c r="A719" t="s">
        <v>55</v>
      </c>
      <c r="B719" t="s">
        <v>119</v>
      </c>
      <c r="C719" t="s">
        <v>4</v>
      </c>
      <c r="D719" t="s">
        <v>114</v>
      </c>
    </row>
    <row r="720" spans="1:5" x14ac:dyDescent="0.6">
      <c r="A720" t="s">
        <v>55</v>
      </c>
      <c r="B720" t="s">
        <v>119</v>
      </c>
      <c r="C720" t="s">
        <v>4</v>
      </c>
      <c r="D720" t="s">
        <v>113</v>
      </c>
    </row>
    <row r="721" spans="1:4" x14ac:dyDescent="0.6">
      <c r="A721" t="s">
        <v>55</v>
      </c>
      <c r="B721" t="s">
        <v>119</v>
      </c>
      <c r="C721" t="s">
        <v>4</v>
      </c>
      <c r="D721" t="s">
        <v>95</v>
      </c>
    </row>
    <row r="722" spans="1:4" x14ac:dyDescent="0.6">
      <c r="A722" t="s">
        <v>55</v>
      </c>
      <c r="B722" t="s">
        <v>119</v>
      </c>
      <c r="C722" t="s">
        <v>4</v>
      </c>
      <c r="D722" t="s">
        <v>92</v>
      </c>
    </row>
    <row r="723" spans="1:4" x14ac:dyDescent="0.6">
      <c r="A723" t="s">
        <v>55</v>
      </c>
      <c r="B723" t="s">
        <v>119</v>
      </c>
      <c r="C723" t="s">
        <v>90</v>
      </c>
      <c r="D723" t="s">
        <v>117</v>
      </c>
    </row>
    <row r="724" spans="1:4" x14ac:dyDescent="0.6">
      <c r="A724" t="s">
        <v>55</v>
      </c>
      <c r="B724" t="s">
        <v>119</v>
      </c>
      <c r="C724" t="s">
        <v>90</v>
      </c>
      <c r="D724" t="s">
        <v>116</v>
      </c>
    </row>
    <row r="725" spans="1:4" x14ac:dyDescent="0.6">
      <c r="A725" t="s">
        <v>55</v>
      </c>
      <c r="B725" t="s">
        <v>119</v>
      </c>
      <c r="C725" t="s">
        <v>90</v>
      </c>
      <c r="D725" t="s">
        <v>115</v>
      </c>
    </row>
    <row r="726" spans="1:4" x14ac:dyDescent="0.6">
      <c r="A726" t="s">
        <v>55</v>
      </c>
      <c r="B726" t="s">
        <v>119</v>
      </c>
      <c r="C726" t="s">
        <v>90</v>
      </c>
      <c r="D726" t="s">
        <v>114</v>
      </c>
    </row>
    <row r="727" spans="1:4" x14ac:dyDescent="0.6">
      <c r="A727" t="s">
        <v>55</v>
      </c>
      <c r="B727" t="s">
        <v>119</v>
      </c>
      <c r="C727" t="s">
        <v>90</v>
      </c>
      <c r="D727" t="s">
        <v>113</v>
      </c>
    </row>
    <row r="728" spans="1:4" x14ac:dyDescent="0.6">
      <c r="A728" t="s">
        <v>55</v>
      </c>
      <c r="B728" t="s">
        <v>119</v>
      </c>
      <c r="C728" t="s">
        <v>90</v>
      </c>
      <c r="D728" t="s">
        <v>95</v>
      </c>
    </row>
    <row r="729" spans="1:4" x14ac:dyDescent="0.6">
      <c r="A729" t="s">
        <v>55</v>
      </c>
      <c r="B729" t="s">
        <v>119</v>
      </c>
      <c r="C729" t="s">
        <v>90</v>
      </c>
      <c r="D729" t="s">
        <v>92</v>
      </c>
    </row>
    <row r="730" spans="1:4" x14ac:dyDescent="0.6">
      <c r="A730" t="s">
        <v>55</v>
      </c>
      <c r="B730" t="s">
        <v>119</v>
      </c>
      <c r="C730" t="s">
        <v>6</v>
      </c>
      <c r="D730" t="s">
        <v>117</v>
      </c>
    </row>
    <row r="731" spans="1:4" x14ac:dyDescent="0.6">
      <c r="A731" t="s">
        <v>55</v>
      </c>
      <c r="B731" t="s">
        <v>119</v>
      </c>
      <c r="C731" t="s">
        <v>6</v>
      </c>
      <c r="D731" t="s">
        <v>116</v>
      </c>
    </row>
    <row r="732" spans="1:4" x14ac:dyDescent="0.6">
      <c r="A732" t="s">
        <v>55</v>
      </c>
      <c r="B732" t="s">
        <v>119</v>
      </c>
      <c r="C732" t="s">
        <v>6</v>
      </c>
      <c r="D732" t="s">
        <v>115</v>
      </c>
    </row>
    <row r="733" spans="1:4" x14ac:dyDescent="0.6">
      <c r="A733" t="s">
        <v>55</v>
      </c>
      <c r="B733" t="s">
        <v>119</v>
      </c>
      <c r="C733" t="s">
        <v>6</v>
      </c>
      <c r="D733" t="s">
        <v>114</v>
      </c>
    </row>
    <row r="734" spans="1:4" x14ac:dyDescent="0.6">
      <c r="A734" t="s">
        <v>55</v>
      </c>
      <c r="B734" t="s">
        <v>119</v>
      </c>
      <c r="C734" t="s">
        <v>6</v>
      </c>
      <c r="D734" t="s">
        <v>113</v>
      </c>
    </row>
    <row r="735" spans="1:4" x14ac:dyDescent="0.6">
      <c r="A735" t="s">
        <v>55</v>
      </c>
      <c r="B735" t="s">
        <v>119</v>
      </c>
      <c r="C735" t="s">
        <v>6</v>
      </c>
      <c r="D735" t="s">
        <v>95</v>
      </c>
    </row>
    <row r="736" spans="1:4" x14ac:dyDescent="0.6">
      <c r="A736" t="s">
        <v>55</v>
      </c>
      <c r="B736" t="s">
        <v>119</v>
      </c>
      <c r="C736" t="s">
        <v>6</v>
      </c>
      <c r="D736" t="s">
        <v>92</v>
      </c>
    </row>
    <row r="737" spans="1:5" x14ac:dyDescent="0.6">
      <c r="A737" t="s">
        <v>55</v>
      </c>
      <c r="B737" t="s">
        <v>119</v>
      </c>
      <c r="C737" t="s">
        <v>3</v>
      </c>
      <c r="D737" t="s">
        <v>117</v>
      </c>
    </row>
    <row r="738" spans="1:5" x14ac:dyDescent="0.6">
      <c r="A738" t="s">
        <v>55</v>
      </c>
      <c r="B738" t="s">
        <v>119</v>
      </c>
      <c r="C738" t="s">
        <v>3</v>
      </c>
      <c r="D738" t="s">
        <v>116</v>
      </c>
    </row>
    <row r="739" spans="1:5" x14ac:dyDescent="0.6">
      <c r="A739" t="s">
        <v>55</v>
      </c>
      <c r="B739" t="s">
        <v>119</v>
      </c>
      <c r="C739" t="s">
        <v>3</v>
      </c>
      <c r="D739" t="s">
        <v>115</v>
      </c>
    </row>
    <row r="740" spans="1:5" x14ac:dyDescent="0.6">
      <c r="A740" t="s">
        <v>55</v>
      </c>
      <c r="B740" t="s">
        <v>119</v>
      </c>
      <c r="C740" t="s">
        <v>3</v>
      </c>
      <c r="D740" t="s">
        <v>114</v>
      </c>
    </row>
    <row r="741" spans="1:5" x14ac:dyDescent="0.6">
      <c r="A741" t="s">
        <v>55</v>
      </c>
      <c r="B741" t="s">
        <v>119</v>
      </c>
      <c r="C741" t="s">
        <v>3</v>
      </c>
      <c r="D741" t="s">
        <v>113</v>
      </c>
    </row>
    <row r="742" spans="1:5" x14ac:dyDescent="0.6">
      <c r="A742" t="s">
        <v>55</v>
      </c>
      <c r="B742" t="s">
        <v>119</v>
      </c>
      <c r="C742" t="s">
        <v>3</v>
      </c>
      <c r="D742" t="s">
        <v>95</v>
      </c>
      <c r="E742">
        <v>2805</v>
      </c>
    </row>
    <row r="743" spans="1:5" x14ac:dyDescent="0.6">
      <c r="A743" t="s">
        <v>55</v>
      </c>
      <c r="B743" t="s">
        <v>119</v>
      </c>
      <c r="C743" t="s">
        <v>3</v>
      </c>
      <c r="D743" t="s">
        <v>92</v>
      </c>
      <c r="E743">
        <v>1510</v>
      </c>
    </row>
    <row r="744" spans="1:5" x14ac:dyDescent="0.6">
      <c r="A744" t="s">
        <v>55</v>
      </c>
      <c r="B744" t="s">
        <v>119</v>
      </c>
      <c r="C744" t="s">
        <v>2</v>
      </c>
      <c r="D744" t="s">
        <v>117</v>
      </c>
    </row>
    <row r="745" spans="1:5" x14ac:dyDescent="0.6">
      <c r="A745" t="s">
        <v>55</v>
      </c>
      <c r="B745" t="s">
        <v>119</v>
      </c>
      <c r="C745" t="s">
        <v>2</v>
      </c>
      <c r="D745" t="s">
        <v>116</v>
      </c>
    </row>
    <row r="746" spans="1:5" x14ac:dyDescent="0.6">
      <c r="A746" t="s">
        <v>55</v>
      </c>
      <c r="B746" t="s">
        <v>119</v>
      </c>
      <c r="C746" t="s">
        <v>2</v>
      </c>
      <c r="D746" t="s">
        <v>115</v>
      </c>
    </row>
    <row r="747" spans="1:5" x14ac:dyDescent="0.6">
      <c r="A747" t="s">
        <v>55</v>
      </c>
      <c r="B747" t="s">
        <v>119</v>
      </c>
      <c r="C747" t="s">
        <v>2</v>
      </c>
      <c r="D747" t="s">
        <v>114</v>
      </c>
    </row>
    <row r="748" spans="1:5" x14ac:dyDescent="0.6">
      <c r="A748" t="s">
        <v>55</v>
      </c>
      <c r="B748" t="s">
        <v>119</v>
      </c>
      <c r="C748" t="s">
        <v>2</v>
      </c>
      <c r="D748" t="s">
        <v>113</v>
      </c>
    </row>
    <row r="749" spans="1:5" x14ac:dyDescent="0.6">
      <c r="A749" t="s">
        <v>55</v>
      </c>
      <c r="B749" t="s">
        <v>119</v>
      </c>
      <c r="C749" t="s">
        <v>2</v>
      </c>
      <c r="D749" t="s">
        <v>95</v>
      </c>
    </row>
    <row r="750" spans="1:5" x14ac:dyDescent="0.6">
      <c r="A750" t="s">
        <v>55</v>
      </c>
      <c r="B750" t="s">
        <v>119</v>
      </c>
      <c r="C750" t="s">
        <v>2</v>
      </c>
      <c r="D750" t="s">
        <v>92</v>
      </c>
    </row>
    <row r="751" spans="1:5" x14ac:dyDescent="0.6">
      <c r="A751" t="s">
        <v>55</v>
      </c>
      <c r="B751" t="s">
        <v>119</v>
      </c>
      <c r="C751" t="s">
        <v>82</v>
      </c>
      <c r="D751" t="s">
        <v>117</v>
      </c>
    </row>
    <row r="752" spans="1:5" x14ac:dyDescent="0.6">
      <c r="A752" t="s">
        <v>55</v>
      </c>
      <c r="B752" t="s">
        <v>119</v>
      </c>
      <c r="C752" t="s">
        <v>82</v>
      </c>
      <c r="D752" t="s">
        <v>116</v>
      </c>
    </row>
    <row r="753" spans="1:5" x14ac:dyDescent="0.6">
      <c r="A753" t="s">
        <v>55</v>
      </c>
      <c r="B753" t="s">
        <v>119</v>
      </c>
      <c r="C753" t="s">
        <v>82</v>
      </c>
      <c r="D753" t="s">
        <v>115</v>
      </c>
    </row>
    <row r="754" spans="1:5" x14ac:dyDescent="0.6">
      <c r="A754" t="s">
        <v>55</v>
      </c>
      <c r="B754" t="s">
        <v>119</v>
      </c>
      <c r="C754" t="s">
        <v>82</v>
      </c>
      <c r="D754" t="s">
        <v>114</v>
      </c>
    </row>
    <row r="755" spans="1:5" x14ac:dyDescent="0.6">
      <c r="A755" t="s">
        <v>55</v>
      </c>
      <c r="B755" t="s">
        <v>119</v>
      </c>
      <c r="C755" t="s">
        <v>82</v>
      </c>
      <c r="D755" t="s">
        <v>113</v>
      </c>
    </row>
    <row r="756" spans="1:5" x14ac:dyDescent="0.6">
      <c r="A756" t="s">
        <v>55</v>
      </c>
      <c r="B756" t="s">
        <v>119</v>
      </c>
      <c r="C756" t="s">
        <v>82</v>
      </c>
      <c r="D756" t="s">
        <v>95</v>
      </c>
    </row>
    <row r="757" spans="1:5" x14ac:dyDescent="0.6">
      <c r="A757" t="s">
        <v>55</v>
      </c>
      <c r="B757" t="s">
        <v>119</v>
      </c>
      <c r="C757" t="s">
        <v>82</v>
      </c>
      <c r="D757" t="s">
        <v>92</v>
      </c>
    </row>
    <row r="758" spans="1:5" x14ac:dyDescent="0.6">
      <c r="A758" t="s">
        <v>55</v>
      </c>
      <c r="B758" t="s">
        <v>119</v>
      </c>
      <c r="C758" t="s">
        <v>89</v>
      </c>
      <c r="D758" t="s">
        <v>117</v>
      </c>
      <c r="E758">
        <v>0</v>
      </c>
    </row>
    <row r="759" spans="1:5" x14ac:dyDescent="0.6">
      <c r="A759" t="s">
        <v>55</v>
      </c>
      <c r="B759" t="s">
        <v>119</v>
      </c>
      <c r="C759" t="s">
        <v>89</v>
      </c>
      <c r="D759" t="s">
        <v>116</v>
      </c>
      <c r="E759">
        <v>36877.1</v>
      </c>
    </row>
    <row r="760" spans="1:5" x14ac:dyDescent="0.6">
      <c r="A760" t="s">
        <v>55</v>
      </c>
      <c r="B760" t="s">
        <v>119</v>
      </c>
      <c r="C760" t="s">
        <v>89</v>
      </c>
      <c r="D760" t="s">
        <v>115</v>
      </c>
      <c r="E760">
        <v>67972.5</v>
      </c>
    </row>
    <row r="761" spans="1:5" x14ac:dyDescent="0.6">
      <c r="A761" t="s">
        <v>55</v>
      </c>
      <c r="B761" t="s">
        <v>119</v>
      </c>
      <c r="C761" t="s">
        <v>89</v>
      </c>
      <c r="D761" t="s">
        <v>114</v>
      </c>
      <c r="E761">
        <v>0</v>
      </c>
    </row>
    <row r="762" spans="1:5" x14ac:dyDescent="0.6">
      <c r="A762" t="s">
        <v>55</v>
      </c>
      <c r="B762" t="s">
        <v>119</v>
      </c>
      <c r="C762" t="s">
        <v>89</v>
      </c>
      <c r="D762" t="s">
        <v>113</v>
      </c>
      <c r="E762">
        <v>0</v>
      </c>
    </row>
    <row r="763" spans="1:5" x14ac:dyDescent="0.6">
      <c r="A763" t="s">
        <v>55</v>
      </c>
      <c r="B763" t="s">
        <v>119</v>
      </c>
      <c r="C763" t="s">
        <v>89</v>
      </c>
      <c r="D763" t="s">
        <v>95</v>
      </c>
      <c r="E763">
        <v>146247.75</v>
      </c>
    </row>
    <row r="764" spans="1:5" x14ac:dyDescent="0.6">
      <c r="A764" t="s">
        <v>55</v>
      </c>
      <c r="B764" t="s">
        <v>119</v>
      </c>
      <c r="C764" t="s">
        <v>89</v>
      </c>
      <c r="D764" t="s">
        <v>92</v>
      </c>
      <c r="E764">
        <v>72852.649999999994</v>
      </c>
    </row>
    <row r="765" spans="1:5" x14ac:dyDescent="0.6">
      <c r="A765" t="s">
        <v>55</v>
      </c>
      <c r="B765" t="s">
        <v>119</v>
      </c>
      <c r="C765" t="s">
        <v>1</v>
      </c>
      <c r="D765" t="s">
        <v>117</v>
      </c>
      <c r="E765">
        <v>0</v>
      </c>
    </row>
    <row r="766" spans="1:5" x14ac:dyDescent="0.6">
      <c r="A766" t="s">
        <v>55</v>
      </c>
      <c r="B766" t="s">
        <v>119</v>
      </c>
      <c r="C766" t="s">
        <v>1</v>
      </c>
      <c r="D766" t="s">
        <v>116</v>
      </c>
      <c r="E766">
        <v>268867.96799999999</v>
      </c>
    </row>
    <row r="767" spans="1:5" x14ac:dyDescent="0.6">
      <c r="A767" t="s">
        <v>55</v>
      </c>
      <c r="B767" t="s">
        <v>119</v>
      </c>
      <c r="C767" t="s">
        <v>1</v>
      </c>
      <c r="D767" t="s">
        <v>115</v>
      </c>
      <c r="E767">
        <v>24789.252</v>
      </c>
    </row>
    <row r="768" spans="1:5" x14ac:dyDescent="0.6">
      <c r="A768" t="s">
        <v>55</v>
      </c>
      <c r="B768" t="s">
        <v>119</v>
      </c>
      <c r="C768" t="s">
        <v>1</v>
      </c>
      <c r="D768" t="s">
        <v>114</v>
      </c>
      <c r="E768">
        <v>0</v>
      </c>
    </row>
    <row r="769" spans="1:5" x14ac:dyDescent="0.6">
      <c r="A769" t="s">
        <v>55</v>
      </c>
      <c r="B769" t="s">
        <v>119</v>
      </c>
      <c r="C769" t="s">
        <v>1</v>
      </c>
      <c r="D769" t="s">
        <v>113</v>
      </c>
      <c r="E769">
        <v>0</v>
      </c>
    </row>
    <row r="770" spans="1:5" x14ac:dyDescent="0.6">
      <c r="A770" t="s">
        <v>55</v>
      </c>
      <c r="B770" t="s">
        <v>119</v>
      </c>
      <c r="C770" t="s">
        <v>1</v>
      </c>
      <c r="D770" t="s">
        <v>95</v>
      </c>
      <c r="E770">
        <v>291749.84399999998</v>
      </c>
    </row>
    <row r="771" spans="1:5" x14ac:dyDescent="0.6">
      <c r="A771" t="s">
        <v>55</v>
      </c>
      <c r="B771" t="s">
        <v>119</v>
      </c>
      <c r="C771" t="s">
        <v>1</v>
      </c>
      <c r="D771" t="s">
        <v>92</v>
      </c>
      <c r="E771">
        <v>428090.25599999999</v>
      </c>
    </row>
    <row r="772" spans="1:5" x14ac:dyDescent="0.6">
      <c r="A772" t="s">
        <v>55</v>
      </c>
      <c r="B772" t="s">
        <v>124</v>
      </c>
      <c r="C772" t="s">
        <v>7</v>
      </c>
    </row>
    <row r="773" spans="1:5" x14ac:dyDescent="0.6">
      <c r="A773" t="s">
        <v>55</v>
      </c>
      <c r="B773" t="s">
        <v>124</v>
      </c>
      <c r="C773" t="s">
        <v>7</v>
      </c>
      <c r="D773" t="s">
        <v>116</v>
      </c>
    </row>
    <row r="774" spans="1:5" x14ac:dyDescent="0.6">
      <c r="A774" t="s">
        <v>55</v>
      </c>
      <c r="B774" t="s">
        <v>124</v>
      </c>
      <c r="C774" t="s">
        <v>7</v>
      </c>
      <c r="D774" t="s">
        <v>115</v>
      </c>
    </row>
    <row r="775" spans="1:5" x14ac:dyDescent="0.6">
      <c r="A775" t="s">
        <v>55</v>
      </c>
      <c r="B775" t="s">
        <v>124</v>
      </c>
      <c r="C775" t="s">
        <v>7</v>
      </c>
      <c r="D775" t="s">
        <v>114</v>
      </c>
    </row>
    <row r="776" spans="1:5" x14ac:dyDescent="0.6">
      <c r="A776" t="s">
        <v>55</v>
      </c>
      <c r="B776" t="s">
        <v>124</v>
      </c>
      <c r="C776" t="s">
        <v>7</v>
      </c>
      <c r="D776" t="s">
        <v>113</v>
      </c>
    </row>
    <row r="777" spans="1:5" x14ac:dyDescent="0.6">
      <c r="A777" t="s">
        <v>55</v>
      </c>
      <c r="B777" t="s">
        <v>124</v>
      </c>
      <c r="C777" t="s">
        <v>7</v>
      </c>
      <c r="D777" t="s">
        <v>95</v>
      </c>
    </row>
    <row r="778" spans="1:5" x14ac:dyDescent="0.6">
      <c r="A778" t="s">
        <v>55</v>
      </c>
      <c r="B778" t="s">
        <v>124</v>
      </c>
      <c r="C778" t="s">
        <v>7</v>
      </c>
      <c r="D778" t="s">
        <v>92</v>
      </c>
    </row>
    <row r="779" spans="1:5" x14ac:dyDescent="0.6">
      <c r="A779" t="s">
        <v>55</v>
      </c>
      <c r="B779" t="s">
        <v>124</v>
      </c>
      <c r="C779" t="s">
        <v>4</v>
      </c>
      <c r="D779" t="s">
        <v>117</v>
      </c>
    </row>
    <row r="780" spans="1:5" x14ac:dyDescent="0.6">
      <c r="A780" t="s">
        <v>55</v>
      </c>
      <c r="B780" t="s">
        <v>124</v>
      </c>
      <c r="C780" t="s">
        <v>4</v>
      </c>
      <c r="D780" t="s">
        <v>116</v>
      </c>
      <c r="E780">
        <v>49914</v>
      </c>
    </row>
    <row r="781" spans="1:5" x14ac:dyDescent="0.6">
      <c r="A781" t="s">
        <v>55</v>
      </c>
      <c r="B781" t="s">
        <v>124</v>
      </c>
      <c r="C781" t="s">
        <v>4</v>
      </c>
      <c r="D781" t="s">
        <v>115</v>
      </c>
      <c r="E781">
        <v>20961</v>
      </c>
    </row>
    <row r="782" spans="1:5" x14ac:dyDescent="0.6">
      <c r="A782" t="s">
        <v>55</v>
      </c>
      <c r="B782" t="s">
        <v>124</v>
      </c>
      <c r="C782" t="s">
        <v>4</v>
      </c>
      <c r="D782" t="s">
        <v>114</v>
      </c>
    </row>
    <row r="783" spans="1:5" x14ac:dyDescent="0.6">
      <c r="A783" t="s">
        <v>55</v>
      </c>
      <c r="B783" t="s">
        <v>124</v>
      </c>
      <c r="C783" t="s">
        <v>4</v>
      </c>
      <c r="D783" t="s">
        <v>113</v>
      </c>
    </row>
    <row r="784" spans="1:5" x14ac:dyDescent="0.6">
      <c r="A784" t="s">
        <v>55</v>
      </c>
      <c r="B784" t="s">
        <v>124</v>
      </c>
      <c r="C784" t="s">
        <v>4</v>
      </c>
      <c r="D784" t="s">
        <v>95</v>
      </c>
      <c r="E784">
        <v>539250</v>
      </c>
    </row>
    <row r="785" spans="1:5" x14ac:dyDescent="0.6">
      <c r="A785" t="s">
        <v>55</v>
      </c>
      <c r="B785" t="s">
        <v>124</v>
      </c>
      <c r="C785" t="s">
        <v>4</v>
      </c>
      <c r="D785" t="s">
        <v>92</v>
      </c>
      <c r="E785">
        <v>4148060</v>
      </c>
    </row>
    <row r="786" spans="1:5" x14ac:dyDescent="0.6">
      <c r="A786" t="s">
        <v>55</v>
      </c>
      <c r="B786" t="s">
        <v>124</v>
      </c>
      <c r="C786" t="s">
        <v>90</v>
      </c>
      <c r="D786" t="s">
        <v>117</v>
      </c>
      <c r="E786">
        <v>0</v>
      </c>
    </row>
    <row r="787" spans="1:5" x14ac:dyDescent="0.6">
      <c r="A787" t="s">
        <v>55</v>
      </c>
      <c r="B787" t="s">
        <v>124</v>
      </c>
      <c r="C787" t="s">
        <v>90</v>
      </c>
      <c r="D787" t="s">
        <v>116</v>
      </c>
      <c r="E787">
        <v>0</v>
      </c>
    </row>
    <row r="788" spans="1:5" x14ac:dyDescent="0.6">
      <c r="A788" t="s">
        <v>55</v>
      </c>
      <c r="B788" t="s">
        <v>124</v>
      </c>
      <c r="C788" t="s">
        <v>90</v>
      </c>
      <c r="D788" t="s">
        <v>115</v>
      </c>
      <c r="E788">
        <v>0</v>
      </c>
    </row>
    <row r="789" spans="1:5" x14ac:dyDescent="0.6">
      <c r="A789" t="s">
        <v>55</v>
      </c>
      <c r="B789" t="s">
        <v>124</v>
      </c>
      <c r="C789" t="s">
        <v>90</v>
      </c>
      <c r="D789" t="s">
        <v>114</v>
      </c>
      <c r="E789">
        <v>0</v>
      </c>
    </row>
    <row r="790" spans="1:5" x14ac:dyDescent="0.6">
      <c r="A790" t="s">
        <v>55</v>
      </c>
      <c r="B790" t="s">
        <v>124</v>
      </c>
      <c r="C790" t="s">
        <v>90</v>
      </c>
      <c r="D790" t="s">
        <v>113</v>
      </c>
      <c r="E790">
        <v>0</v>
      </c>
    </row>
    <row r="791" spans="1:5" x14ac:dyDescent="0.6">
      <c r="A791" t="s">
        <v>55</v>
      </c>
      <c r="B791" t="s">
        <v>124</v>
      </c>
      <c r="C791" t="s">
        <v>90</v>
      </c>
      <c r="D791" t="s">
        <v>95</v>
      </c>
      <c r="E791">
        <v>0</v>
      </c>
    </row>
    <row r="792" spans="1:5" x14ac:dyDescent="0.6">
      <c r="A792" t="s">
        <v>55</v>
      </c>
      <c r="B792" t="s">
        <v>124</v>
      </c>
      <c r="C792" t="s">
        <v>90</v>
      </c>
      <c r="D792" t="s">
        <v>92</v>
      </c>
      <c r="E792">
        <v>0</v>
      </c>
    </row>
    <row r="793" spans="1:5" x14ac:dyDescent="0.6">
      <c r="A793" t="s">
        <v>55</v>
      </c>
      <c r="B793" t="s">
        <v>124</v>
      </c>
      <c r="C793" t="s">
        <v>6</v>
      </c>
      <c r="D793" t="s">
        <v>117</v>
      </c>
      <c r="E793">
        <v>0</v>
      </c>
    </row>
    <row r="794" spans="1:5" x14ac:dyDescent="0.6">
      <c r="A794" t="s">
        <v>55</v>
      </c>
      <c r="B794" t="s">
        <v>124</v>
      </c>
      <c r="C794" t="s">
        <v>6</v>
      </c>
      <c r="D794" t="s">
        <v>116</v>
      </c>
      <c r="E794">
        <v>0</v>
      </c>
    </row>
    <row r="795" spans="1:5" x14ac:dyDescent="0.6">
      <c r="A795" t="s">
        <v>55</v>
      </c>
      <c r="B795" t="s">
        <v>124</v>
      </c>
      <c r="C795" t="s">
        <v>6</v>
      </c>
      <c r="D795" t="s">
        <v>115</v>
      </c>
      <c r="E795">
        <v>0</v>
      </c>
    </row>
    <row r="796" spans="1:5" x14ac:dyDescent="0.6">
      <c r="A796" t="s">
        <v>55</v>
      </c>
      <c r="B796" t="s">
        <v>124</v>
      </c>
      <c r="C796" t="s">
        <v>6</v>
      </c>
      <c r="D796" t="s">
        <v>114</v>
      </c>
      <c r="E796">
        <v>0</v>
      </c>
    </row>
    <row r="797" spans="1:5" x14ac:dyDescent="0.6">
      <c r="A797" t="s">
        <v>55</v>
      </c>
      <c r="B797" t="s">
        <v>124</v>
      </c>
      <c r="C797" t="s">
        <v>6</v>
      </c>
      <c r="D797" t="s">
        <v>113</v>
      </c>
      <c r="E797">
        <v>0</v>
      </c>
    </row>
    <row r="798" spans="1:5" x14ac:dyDescent="0.6">
      <c r="A798" t="s">
        <v>55</v>
      </c>
      <c r="B798" t="s">
        <v>124</v>
      </c>
      <c r="C798" t="s">
        <v>6</v>
      </c>
      <c r="D798" t="s">
        <v>95</v>
      </c>
      <c r="E798">
        <v>0</v>
      </c>
    </row>
    <row r="799" spans="1:5" x14ac:dyDescent="0.6">
      <c r="A799" t="s">
        <v>55</v>
      </c>
      <c r="B799" t="s">
        <v>124</v>
      </c>
      <c r="C799" t="s">
        <v>6</v>
      </c>
      <c r="D799" t="s">
        <v>92</v>
      </c>
      <c r="E799">
        <v>0</v>
      </c>
    </row>
    <row r="800" spans="1:5" x14ac:dyDescent="0.6">
      <c r="A800" t="s">
        <v>55</v>
      </c>
      <c r="B800" t="s">
        <v>124</v>
      </c>
      <c r="C800" t="s">
        <v>3</v>
      </c>
      <c r="D800" t="s">
        <v>117</v>
      </c>
      <c r="E800">
        <v>0</v>
      </c>
    </row>
    <row r="801" spans="1:5" x14ac:dyDescent="0.6">
      <c r="A801" t="s">
        <v>55</v>
      </c>
      <c r="B801" t="s">
        <v>124</v>
      </c>
      <c r="C801" t="s">
        <v>3</v>
      </c>
      <c r="D801" t="s">
        <v>116</v>
      </c>
      <c r="E801">
        <v>6154</v>
      </c>
    </row>
    <row r="802" spans="1:5" x14ac:dyDescent="0.6">
      <c r="A802" t="s">
        <v>55</v>
      </c>
      <c r="B802" t="s">
        <v>124</v>
      </c>
      <c r="C802" t="s">
        <v>3</v>
      </c>
      <c r="D802" t="s">
        <v>115</v>
      </c>
      <c r="E802">
        <v>2584</v>
      </c>
    </row>
    <row r="803" spans="1:5" x14ac:dyDescent="0.6">
      <c r="A803" t="s">
        <v>55</v>
      </c>
      <c r="B803" t="s">
        <v>124</v>
      </c>
      <c r="C803" t="s">
        <v>3</v>
      </c>
      <c r="D803" t="s">
        <v>114</v>
      </c>
      <c r="E803">
        <v>0</v>
      </c>
    </row>
    <row r="804" spans="1:5" x14ac:dyDescent="0.6">
      <c r="A804" t="s">
        <v>55</v>
      </c>
      <c r="B804" t="s">
        <v>124</v>
      </c>
      <c r="C804" t="s">
        <v>3</v>
      </c>
      <c r="D804" t="s">
        <v>113</v>
      </c>
      <c r="E804">
        <v>0</v>
      </c>
    </row>
    <row r="805" spans="1:5" x14ac:dyDescent="0.6">
      <c r="A805" t="s">
        <v>55</v>
      </c>
      <c r="B805" t="s">
        <v>124</v>
      </c>
      <c r="C805" t="s">
        <v>3</v>
      </c>
      <c r="D805" t="s">
        <v>95</v>
      </c>
      <c r="E805">
        <v>66484</v>
      </c>
    </row>
    <row r="806" spans="1:5" x14ac:dyDescent="0.6">
      <c r="A806" t="s">
        <v>55</v>
      </c>
      <c r="B806" t="s">
        <v>124</v>
      </c>
      <c r="C806" t="s">
        <v>3</v>
      </c>
      <c r="D806" t="s">
        <v>92</v>
      </c>
      <c r="E806">
        <v>511411</v>
      </c>
    </row>
    <row r="807" spans="1:5" x14ac:dyDescent="0.6">
      <c r="A807" t="s">
        <v>55</v>
      </c>
      <c r="B807" t="s">
        <v>124</v>
      </c>
      <c r="C807" t="s">
        <v>2</v>
      </c>
      <c r="D807" t="s">
        <v>117</v>
      </c>
      <c r="E807">
        <v>0</v>
      </c>
    </row>
    <row r="808" spans="1:5" x14ac:dyDescent="0.6">
      <c r="A808" t="s">
        <v>55</v>
      </c>
      <c r="B808" t="s">
        <v>124</v>
      </c>
      <c r="C808" t="s">
        <v>2</v>
      </c>
      <c r="D808" t="s">
        <v>116</v>
      </c>
      <c r="E808">
        <v>687783</v>
      </c>
    </row>
    <row r="809" spans="1:5" x14ac:dyDescent="0.6">
      <c r="A809" t="s">
        <v>55</v>
      </c>
      <c r="B809" t="s">
        <v>124</v>
      </c>
      <c r="C809" t="s">
        <v>2</v>
      </c>
      <c r="D809" t="s">
        <v>115</v>
      </c>
      <c r="E809">
        <v>0</v>
      </c>
    </row>
    <row r="810" spans="1:5" x14ac:dyDescent="0.6">
      <c r="A810" t="s">
        <v>55</v>
      </c>
      <c r="B810" t="s">
        <v>124</v>
      </c>
      <c r="C810" t="s">
        <v>2</v>
      </c>
      <c r="D810" t="s">
        <v>114</v>
      </c>
      <c r="E810">
        <v>0</v>
      </c>
    </row>
    <row r="811" spans="1:5" x14ac:dyDescent="0.6">
      <c r="A811" t="s">
        <v>55</v>
      </c>
      <c r="B811" t="s">
        <v>124</v>
      </c>
      <c r="C811" t="s">
        <v>2</v>
      </c>
      <c r="D811" t="s">
        <v>113</v>
      </c>
      <c r="E811">
        <v>0</v>
      </c>
    </row>
    <row r="812" spans="1:5" x14ac:dyDescent="0.6">
      <c r="A812" t="s">
        <v>55</v>
      </c>
      <c r="B812" t="s">
        <v>124</v>
      </c>
      <c r="C812" t="s">
        <v>2</v>
      </c>
      <c r="D812" t="s">
        <v>95</v>
      </c>
      <c r="E812">
        <v>40457.599999999999</v>
      </c>
    </row>
    <row r="813" spans="1:5" x14ac:dyDescent="0.6">
      <c r="A813" t="s">
        <v>55</v>
      </c>
      <c r="B813" t="s">
        <v>124</v>
      </c>
      <c r="C813" t="s">
        <v>2</v>
      </c>
      <c r="D813" t="s">
        <v>92</v>
      </c>
      <c r="E813">
        <v>80915.600000000006</v>
      </c>
    </row>
    <row r="814" spans="1:5" x14ac:dyDescent="0.6">
      <c r="A814" t="s">
        <v>55</v>
      </c>
      <c r="B814" t="s">
        <v>124</v>
      </c>
      <c r="C814" t="s">
        <v>82</v>
      </c>
      <c r="D814" t="s">
        <v>117</v>
      </c>
      <c r="E814">
        <v>0</v>
      </c>
    </row>
    <row r="815" spans="1:5" x14ac:dyDescent="0.6">
      <c r="A815" t="s">
        <v>55</v>
      </c>
      <c r="B815" t="s">
        <v>124</v>
      </c>
      <c r="C815" t="s">
        <v>82</v>
      </c>
      <c r="D815" t="s">
        <v>116</v>
      </c>
      <c r="E815">
        <v>0</v>
      </c>
    </row>
    <row r="816" spans="1:5" x14ac:dyDescent="0.6">
      <c r="A816" t="s">
        <v>55</v>
      </c>
      <c r="B816" t="s">
        <v>124</v>
      </c>
      <c r="C816" t="s">
        <v>82</v>
      </c>
      <c r="D816" t="s">
        <v>115</v>
      </c>
      <c r="E816">
        <v>0</v>
      </c>
    </row>
    <row r="817" spans="1:5" x14ac:dyDescent="0.6">
      <c r="A817" t="s">
        <v>55</v>
      </c>
      <c r="B817" t="s">
        <v>124</v>
      </c>
      <c r="C817" t="s">
        <v>82</v>
      </c>
      <c r="D817" t="s">
        <v>114</v>
      </c>
      <c r="E817">
        <v>0</v>
      </c>
    </row>
    <row r="818" spans="1:5" x14ac:dyDescent="0.6">
      <c r="A818" t="s">
        <v>55</v>
      </c>
      <c r="B818" t="s">
        <v>124</v>
      </c>
      <c r="C818" t="s">
        <v>82</v>
      </c>
      <c r="D818" t="s">
        <v>113</v>
      </c>
      <c r="E818">
        <v>0</v>
      </c>
    </row>
    <row r="819" spans="1:5" x14ac:dyDescent="0.6">
      <c r="A819" t="s">
        <v>55</v>
      </c>
      <c r="B819" t="s">
        <v>124</v>
      </c>
      <c r="C819" t="s">
        <v>82</v>
      </c>
      <c r="D819" t="s">
        <v>95</v>
      </c>
      <c r="E819">
        <v>0</v>
      </c>
    </row>
    <row r="820" spans="1:5" x14ac:dyDescent="0.6">
      <c r="A820" t="s">
        <v>55</v>
      </c>
      <c r="B820" t="s">
        <v>124</v>
      </c>
      <c r="C820" t="s">
        <v>82</v>
      </c>
      <c r="D820" t="s">
        <v>92</v>
      </c>
      <c r="E820">
        <v>0</v>
      </c>
    </row>
    <row r="821" spans="1:5" x14ac:dyDescent="0.6">
      <c r="A821" t="s">
        <v>55</v>
      </c>
      <c r="B821" t="s">
        <v>124</v>
      </c>
      <c r="C821" t="s">
        <v>89</v>
      </c>
      <c r="D821" t="s">
        <v>117</v>
      </c>
      <c r="E821">
        <v>0</v>
      </c>
    </row>
    <row r="822" spans="1:5" x14ac:dyDescent="0.6">
      <c r="A822" t="s">
        <v>55</v>
      </c>
      <c r="B822" t="s">
        <v>124</v>
      </c>
      <c r="C822" t="s">
        <v>89</v>
      </c>
      <c r="D822" t="s">
        <v>116</v>
      </c>
      <c r="E822">
        <v>26121.45</v>
      </c>
    </row>
    <row r="823" spans="1:5" x14ac:dyDescent="0.6">
      <c r="A823" t="s">
        <v>55</v>
      </c>
      <c r="B823" t="s">
        <v>124</v>
      </c>
      <c r="C823" t="s">
        <v>89</v>
      </c>
      <c r="D823" t="s">
        <v>115</v>
      </c>
      <c r="E823">
        <v>175938.25</v>
      </c>
    </row>
    <row r="824" spans="1:5" x14ac:dyDescent="0.6">
      <c r="A824" t="s">
        <v>55</v>
      </c>
      <c r="B824" t="s">
        <v>124</v>
      </c>
      <c r="C824" t="s">
        <v>89</v>
      </c>
      <c r="D824" t="s">
        <v>114</v>
      </c>
      <c r="E824">
        <v>0</v>
      </c>
    </row>
    <row r="825" spans="1:5" x14ac:dyDescent="0.6">
      <c r="A825" t="s">
        <v>55</v>
      </c>
      <c r="B825" t="s">
        <v>124</v>
      </c>
      <c r="C825" t="s">
        <v>89</v>
      </c>
      <c r="D825" t="s">
        <v>113</v>
      </c>
      <c r="E825">
        <v>0</v>
      </c>
    </row>
    <row r="826" spans="1:5" x14ac:dyDescent="0.6">
      <c r="A826" t="s">
        <v>55</v>
      </c>
      <c r="B826" t="s">
        <v>124</v>
      </c>
      <c r="C826" t="s">
        <v>89</v>
      </c>
      <c r="D826" t="s">
        <v>95</v>
      </c>
      <c r="E826">
        <v>412469.4</v>
      </c>
    </row>
    <row r="827" spans="1:5" x14ac:dyDescent="0.6">
      <c r="A827" t="s">
        <v>55</v>
      </c>
      <c r="B827" t="s">
        <v>124</v>
      </c>
      <c r="C827" t="s">
        <v>89</v>
      </c>
      <c r="D827" t="s">
        <v>92</v>
      </c>
      <c r="E827">
        <v>488319.4</v>
      </c>
    </row>
    <row r="828" spans="1:5" x14ac:dyDescent="0.6">
      <c r="A828" t="s">
        <v>55</v>
      </c>
      <c r="B828" t="s">
        <v>124</v>
      </c>
      <c r="C828" t="s">
        <v>1</v>
      </c>
      <c r="D828" t="s">
        <v>117</v>
      </c>
      <c r="E828">
        <v>0</v>
      </c>
    </row>
    <row r="829" spans="1:5" x14ac:dyDescent="0.6">
      <c r="A829" t="s">
        <v>55</v>
      </c>
      <c r="B829" t="s">
        <v>124</v>
      </c>
      <c r="C829" t="s">
        <v>1</v>
      </c>
      <c r="D829" t="s">
        <v>116</v>
      </c>
      <c r="E829">
        <v>0</v>
      </c>
    </row>
    <row r="830" spans="1:5" x14ac:dyDescent="0.6">
      <c r="A830" t="s">
        <v>55</v>
      </c>
      <c r="B830" t="s">
        <v>124</v>
      </c>
      <c r="C830" t="s">
        <v>1</v>
      </c>
      <c r="D830" t="s">
        <v>115</v>
      </c>
      <c r="E830">
        <v>0</v>
      </c>
    </row>
    <row r="831" spans="1:5" x14ac:dyDescent="0.6">
      <c r="A831" t="s">
        <v>55</v>
      </c>
      <c r="B831" t="s">
        <v>124</v>
      </c>
      <c r="C831" t="s">
        <v>1</v>
      </c>
      <c r="D831" t="s">
        <v>114</v>
      </c>
      <c r="E831">
        <v>0</v>
      </c>
    </row>
    <row r="832" spans="1:5" x14ac:dyDescent="0.6">
      <c r="A832" t="s">
        <v>55</v>
      </c>
      <c r="B832" t="s">
        <v>124</v>
      </c>
      <c r="C832" t="s">
        <v>1</v>
      </c>
      <c r="D832" t="s">
        <v>113</v>
      </c>
      <c r="E832">
        <v>0</v>
      </c>
    </row>
    <row r="833" spans="1:5" x14ac:dyDescent="0.6">
      <c r="A833" t="s">
        <v>55</v>
      </c>
      <c r="B833" t="s">
        <v>124</v>
      </c>
      <c r="C833" t="s">
        <v>1</v>
      </c>
      <c r="D833" t="s">
        <v>95</v>
      </c>
      <c r="E833">
        <v>0</v>
      </c>
    </row>
    <row r="834" spans="1:5" x14ac:dyDescent="0.6">
      <c r="A834" t="s">
        <v>55</v>
      </c>
      <c r="B834" t="s">
        <v>124</v>
      </c>
      <c r="C834" t="s">
        <v>1</v>
      </c>
      <c r="D834" t="s">
        <v>92</v>
      </c>
      <c r="E834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A18" zoomScale="86" zoomScaleNormal="93" zoomScalePageLayoutView="93" workbookViewId="0">
      <selection activeCell="H71" sqref="H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8" t="s">
        <v>105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</row>
    <row r="3" spans="1:37" ht="37" customHeight="1" x14ac:dyDescent="0.65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3" t="str">
        <f>Summary!D11:O11</f>
        <v>San Joaquin Delta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0" t="s">
        <v>120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90</v>
      </c>
      <c r="W17" s="44"/>
      <c r="X17" s="161" t="s">
        <v>4</v>
      </c>
      <c r="Y17" s="44"/>
      <c r="Z17" s="161" t="s">
        <v>7</v>
      </c>
      <c r="AA17" s="44"/>
      <c r="AB17" s="161" t="s">
        <v>0</v>
      </c>
      <c r="AC17" s="42"/>
    </row>
    <row r="18" spans="1:37" ht="5" customHeight="1" x14ac:dyDescent="0.6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B18" s="162"/>
      <c r="AC18" s="42"/>
    </row>
    <row r="19" spans="1:37" s="45" customFormat="1" ht="29" customHeight="1" thickBot="1" x14ac:dyDescent="0.7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B19" s="163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>
        <v>0</v>
      </c>
      <c r="G21" s="127"/>
      <c r="H21" s="3">
        <f>0.95*6036</f>
        <v>5734.2</v>
      </c>
      <c r="I21" s="127"/>
      <c r="J21" s="194"/>
      <c r="K21" s="195"/>
      <c r="L21" s="196"/>
      <c r="M21" s="127"/>
      <c r="N21" s="194">
        <v>2714</v>
      </c>
      <c r="O21" s="195"/>
      <c r="P21" s="196"/>
      <c r="Q21" s="127"/>
      <c r="R21" s="3">
        <v>118299</v>
      </c>
      <c r="S21" s="127"/>
      <c r="T21" s="3"/>
      <c r="U21" s="127"/>
      <c r="V21" s="3"/>
      <c r="W21" s="127"/>
      <c r="X21" s="3"/>
      <c r="Y21" s="127"/>
      <c r="Z21" s="3">
        <v>181523</v>
      </c>
      <c r="AA21" s="54"/>
      <c r="AB21" s="55">
        <f>SUM(F21:Z21)</f>
        <v>308270.2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>
        <v>0</v>
      </c>
      <c r="G23" s="127"/>
      <c r="H23" s="3">
        <f>0.95*6036</f>
        <v>5734.2</v>
      </c>
      <c r="I23" s="127"/>
      <c r="J23" s="194"/>
      <c r="K23" s="195"/>
      <c r="L23" s="196"/>
      <c r="M23" s="127"/>
      <c r="N23" s="194">
        <v>1357</v>
      </c>
      <c r="O23" s="195"/>
      <c r="P23" s="196"/>
      <c r="Q23" s="127"/>
      <c r="R23" s="3">
        <v>15379</v>
      </c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22470.2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f>0.95*6036</f>
        <v>5734.2</v>
      </c>
      <c r="I25" s="127"/>
      <c r="J25" s="194"/>
      <c r="K25" s="195"/>
      <c r="L25" s="196"/>
      <c r="M25" s="127"/>
      <c r="N25" s="194"/>
      <c r="O25" s="195"/>
      <c r="P25" s="196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5734.2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4"/>
      <c r="K27" s="195"/>
      <c r="L27" s="196"/>
      <c r="M27" s="127"/>
      <c r="N27" s="194"/>
      <c r="O27" s="195"/>
      <c r="P27" s="196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0</v>
      </c>
      <c r="I29" s="127"/>
      <c r="J29" s="194"/>
      <c r="K29" s="195"/>
      <c r="L29" s="196"/>
      <c r="M29" s="127"/>
      <c r="N29" s="194"/>
      <c r="O29" s="195"/>
      <c r="P29" s="196"/>
      <c r="Q29" s="127"/>
      <c r="R29" s="3">
        <v>598</v>
      </c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598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f>0.95*31143</f>
        <v>29585.85</v>
      </c>
      <c r="I31" s="127"/>
      <c r="J31" s="194"/>
      <c r="K31" s="195"/>
      <c r="L31" s="196"/>
      <c r="M31" s="127"/>
      <c r="N31" s="194">
        <v>23070</v>
      </c>
      <c r="O31" s="195"/>
      <c r="P31" s="196"/>
      <c r="Q31" s="127"/>
      <c r="R31" s="3">
        <v>1424</v>
      </c>
      <c r="S31" s="127"/>
      <c r="T31" s="3"/>
      <c r="U31" s="127"/>
      <c r="V31" s="3"/>
      <c r="W31" s="127"/>
      <c r="X31" s="3"/>
      <c r="Y31" s="127"/>
      <c r="Z31" s="3">
        <v>60508</v>
      </c>
      <c r="AA31" s="54"/>
      <c r="AB31" s="55">
        <f>SUM(F31:Z31)</f>
        <v>114587.85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4"/>
      <c r="K33" s="195"/>
      <c r="L33" s="196"/>
      <c r="M33" s="127"/>
      <c r="N33" s="194"/>
      <c r="O33" s="195"/>
      <c r="P33" s="196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1" t="s">
        <v>0</v>
      </c>
      <c r="D35" s="152"/>
      <c r="E35" s="57"/>
      <c r="F35" s="67">
        <f>SUM(F21:F33)</f>
        <v>0</v>
      </c>
      <c r="G35" s="21"/>
      <c r="H35" s="68">
        <f>SUM(H21:H33)</f>
        <v>46788.45</v>
      </c>
      <c r="I35" s="57"/>
      <c r="J35" s="197">
        <f>SUM(J21:L33)</f>
        <v>0</v>
      </c>
      <c r="K35" s="198"/>
      <c r="L35" s="199"/>
      <c r="M35" s="57"/>
      <c r="N35" s="197">
        <f>SUM(N21:P33)</f>
        <v>27141</v>
      </c>
      <c r="O35" s="198"/>
      <c r="P35" s="199"/>
      <c r="Q35" s="57"/>
      <c r="R35" s="67">
        <f>SUM(R21:R33)</f>
        <v>135700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242031</v>
      </c>
      <c r="AA35" s="57"/>
      <c r="AB35" s="68">
        <f>SUM(AB21:AB33)</f>
        <v>451660.45000000007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1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3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>
        <v>0</v>
      </c>
      <c r="G44" s="127"/>
      <c r="H44" s="3">
        <v>0</v>
      </c>
      <c r="I44" s="86"/>
      <c r="J44" s="87" t="str">
        <f>IFERROR(H44/F44,"")</f>
        <v/>
      </c>
      <c r="K44" s="86"/>
      <c r="L44" s="3">
        <v>0</v>
      </c>
      <c r="M44" s="88"/>
      <c r="N44" s="87">
        <v>0.05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49250</v>
      </c>
      <c r="G46" s="127"/>
      <c r="H46" s="3">
        <v>0</v>
      </c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9"/>
      <c r="D47" s="149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1" t="s">
        <v>0</v>
      </c>
      <c r="D48" s="152"/>
      <c r="E48" s="83"/>
      <c r="F48" s="67">
        <f>SUM(F44:F46)</f>
        <v>49250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>
        <f>N44</f>
        <v>0.05</v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90</v>
      </c>
      <c r="W53" s="44"/>
      <c r="X53" s="161" t="s">
        <v>4</v>
      </c>
      <c r="Y53" s="44"/>
      <c r="Z53" s="161" t="s">
        <v>7</v>
      </c>
      <c r="AA53" s="44"/>
      <c r="AB53" s="161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B54" s="162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B55" s="163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6" t="s">
        <v>96</v>
      </c>
      <c r="D58" s="157" t="s">
        <v>83</v>
      </c>
      <c r="E58" s="21"/>
      <c r="F58" s="3">
        <v>0</v>
      </c>
      <c r="G58" s="127"/>
      <c r="H58" s="3">
        <v>0</v>
      </c>
      <c r="I58" s="127"/>
      <c r="J58" s="194"/>
      <c r="K58" s="195"/>
      <c r="L58" s="196"/>
      <c r="M58" s="127"/>
      <c r="N58" s="194">
        <v>6785</v>
      </c>
      <c r="O58" s="195"/>
      <c r="P58" s="196"/>
      <c r="Q58" s="127"/>
      <c r="R58" s="3">
        <v>33925</v>
      </c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40710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6" t="s">
        <v>97</v>
      </c>
      <c r="D60" s="157" t="s">
        <v>84</v>
      </c>
      <c r="E60" s="21"/>
      <c r="F60" s="3">
        <v>0</v>
      </c>
      <c r="G60" s="127"/>
      <c r="H60" s="3">
        <f>0.95*30661</f>
        <v>29127.949999999997</v>
      </c>
      <c r="I60" s="127"/>
      <c r="J60" s="194"/>
      <c r="K60" s="195"/>
      <c r="L60" s="196"/>
      <c r="M60" s="127"/>
      <c r="N60" s="194"/>
      <c r="O60" s="195"/>
      <c r="P60" s="196"/>
      <c r="Q60" s="127"/>
      <c r="R60" s="3"/>
      <c r="S60" s="127"/>
      <c r="T60" s="3"/>
      <c r="U60" s="127"/>
      <c r="V60" s="3"/>
      <c r="W60" s="127"/>
      <c r="X60" s="3"/>
      <c r="Y60" s="127"/>
      <c r="Z60" s="3">
        <v>242031</v>
      </c>
      <c r="AA60" s="54"/>
      <c r="AB60" s="55">
        <f>SUM(F60:Z60)</f>
        <v>271158.95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6" t="s">
        <v>98</v>
      </c>
      <c r="D62" s="157" t="s">
        <v>85</v>
      </c>
      <c r="E62" s="21"/>
      <c r="F62" s="3">
        <v>0</v>
      </c>
      <c r="G62" s="127"/>
      <c r="H62" s="3">
        <f>0.95*18589</f>
        <v>17659.55</v>
      </c>
      <c r="I62" s="127"/>
      <c r="J62" s="194"/>
      <c r="K62" s="195"/>
      <c r="L62" s="196"/>
      <c r="M62" s="127"/>
      <c r="N62" s="194">
        <v>6785</v>
      </c>
      <c r="O62" s="195"/>
      <c r="P62" s="196"/>
      <c r="Q62" s="127"/>
      <c r="R62" s="3">
        <v>33925</v>
      </c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58369.55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6" t="s">
        <v>99</v>
      </c>
      <c r="D64" s="157" t="s">
        <v>86</v>
      </c>
      <c r="E64" s="21"/>
      <c r="F64" s="3">
        <v>0</v>
      </c>
      <c r="G64" s="127"/>
      <c r="H64" s="3">
        <v>0</v>
      </c>
      <c r="I64" s="127"/>
      <c r="J64" s="194"/>
      <c r="K64" s="195"/>
      <c r="L64" s="196"/>
      <c r="M64" s="127"/>
      <c r="N64" s="194">
        <v>13571</v>
      </c>
      <c r="O64" s="195"/>
      <c r="P64" s="196"/>
      <c r="Q64" s="127"/>
      <c r="R64" s="3">
        <v>67850</v>
      </c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81421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6" t="s">
        <v>100</v>
      </c>
      <c r="D66" s="157" t="s">
        <v>87</v>
      </c>
      <c r="E66" s="21"/>
      <c r="F66" s="3">
        <v>0</v>
      </c>
      <c r="G66" s="127"/>
      <c r="H66" s="3">
        <v>0</v>
      </c>
      <c r="I66" s="127"/>
      <c r="J66" s="194"/>
      <c r="K66" s="195"/>
      <c r="L66" s="196"/>
      <c r="M66" s="127"/>
      <c r="N66" s="194"/>
      <c r="O66" s="195"/>
      <c r="P66" s="196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1" t="s">
        <v>0</v>
      </c>
      <c r="D68" s="152"/>
      <c r="E68" s="57"/>
      <c r="F68" s="67">
        <f>SUM(F58:F66)</f>
        <v>0</v>
      </c>
      <c r="G68" s="21"/>
      <c r="H68" s="68">
        <f>SUM(H58:H66)</f>
        <v>46787.5</v>
      </c>
      <c r="I68" s="57"/>
      <c r="J68" s="197">
        <f>SUM(J58:L66)</f>
        <v>0</v>
      </c>
      <c r="K68" s="198"/>
      <c r="L68" s="199"/>
      <c r="M68" s="57"/>
      <c r="N68" s="197">
        <f>SUM(N58:P66)</f>
        <v>27141</v>
      </c>
      <c r="O68" s="198"/>
      <c r="P68" s="199"/>
      <c r="Q68" s="57"/>
      <c r="R68" s="67">
        <f>SUM(R58:R66)</f>
        <v>135700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242031</v>
      </c>
      <c r="AA68" s="57"/>
      <c r="AB68" s="68">
        <f>SUM(AB58:AB66)</f>
        <v>451659.5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4294967292" verticalDpi="429496729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topLeftCell="A14" zoomScale="86" zoomScaleNormal="93" zoomScalePageLayoutView="93" workbookViewId="0">
      <selection activeCell="H61" sqref="H6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8" t="s">
        <v>105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</row>
    <row r="3" spans="1:37" ht="37" customHeight="1" x14ac:dyDescent="0.65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3" t="str">
        <f>Summary!D11:O11</f>
        <v>San Joaquin Delta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0" t="s">
        <v>125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90</v>
      </c>
      <c r="W17" s="44"/>
      <c r="X17" s="161" t="s">
        <v>4</v>
      </c>
      <c r="Y17" s="44"/>
      <c r="Z17" s="161" t="s">
        <v>7</v>
      </c>
      <c r="AA17" s="44"/>
      <c r="AB17" s="161" t="s">
        <v>0</v>
      </c>
      <c r="AC17" s="42"/>
    </row>
    <row r="18" spans="1:37" ht="5" customHeight="1" x14ac:dyDescent="0.6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B18" s="162"/>
      <c r="AC18" s="42"/>
    </row>
    <row r="19" spans="1:37" s="45" customFormat="1" ht="29" customHeight="1" thickBot="1" x14ac:dyDescent="0.7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B19" s="163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>
        <v>56257</v>
      </c>
      <c r="G21" s="127"/>
      <c r="H21" s="3">
        <f>0.95*49250</f>
        <v>46787.5</v>
      </c>
      <c r="I21" s="127"/>
      <c r="J21" s="194"/>
      <c r="K21" s="195"/>
      <c r="L21" s="196"/>
      <c r="M21" s="127"/>
      <c r="N21" s="194"/>
      <c r="O21" s="195"/>
      <c r="P21" s="196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103044.5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>
        <v>0</v>
      </c>
      <c r="G23" s="127"/>
      <c r="H23" s="3">
        <v>0</v>
      </c>
      <c r="I23" s="127"/>
      <c r="J23" s="194"/>
      <c r="K23" s="195"/>
      <c r="L23" s="196"/>
      <c r="M23" s="127"/>
      <c r="N23" s="194"/>
      <c r="O23" s="195"/>
      <c r="P23" s="196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0</v>
      </c>
      <c r="I25" s="127"/>
      <c r="J25" s="194"/>
      <c r="K25" s="195"/>
      <c r="L25" s="196"/>
      <c r="M25" s="127"/>
      <c r="N25" s="194"/>
      <c r="O25" s="195"/>
      <c r="P25" s="196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4"/>
      <c r="K27" s="195"/>
      <c r="L27" s="196"/>
      <c r="M27" s="127"/>
      <c r="N27" s="194"/>
      <c r="O27" s="195"/>
      <c r="P27" s="196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0</v>
      </c>
      <c r="I29" s="127"/>
      <c r="J29" s="194"/>
      <c r="K29" s="195"/>
      <c r="L29" s="196"/>
      <c r="M29" s="127"/>
      <c r="N29" s="194"/>
      <c r="O29" s="195"/>
      <c r="P29" s="196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v>0</v>
      </c>
      <c r="I31" s="127"/>
      <c r="J31" s="194"/>
      <c r="K31" s="195"/>
      <c r="L31" s="196"/>
      <c r="M31" s="127"/>
      <c r="N31" s="194"/>
      <c r="O31" s="195"/>
      <c r="P31" s="196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4"/>
      <c r="K33" s="195"/>
      <c r="L33" s="196"/>
      <c r="M33" s="127"/>
      <c r="N33" s="194"/>
      <c r="O33" s="195"/>
      <c r="P33" s="196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1" t="s">
        <v>0</v>
      </c>
      <c r="D35" s="152"/>
      <c r="E35" s="57"/>
      <c r="F35" s="67">
        <f>SUM(F21:F33)</f>
        <v>56257</v>
      </c>
      <c r="G35" s="21"/>
      <c r="H35" s="68">
        <f>SUM(H21:H33)</f>
        <v>46787.5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103044.5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1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3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>
        <v>56257</v>
      </c>
      <c r="G44" s="127"/>
      <c r="H44" s="3">
        <f>0.0866*F44</f>
        <v>4871.8562000000002</v>
      </c>
      <c r="I44" s="86"/>
      <c r="J44" s="147">
        <v>8.6599999999999996E-2</v>
      </c>
      <c r="K44" s="86"/>
      <c r="L44" s="3">
        <v>0</v>
      </c>
      <c r="M44" s="88"/>
      <c r="N44" s="87">
        <v>0.05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49250</v>
      </c>
      <c r="G46" s="127"/>
      <c r="H46" s="3">
        <v>0</v>
      </c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9"/>
      <c r="D47" s="149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1" t="s">
        <v>0</v>
      </c>
      <c r="D48" s="152"/>
      <c r="E48" s="83"/>
      <c r="F48" s="67">
        <f>SUM(F44:F46)</f>
        <v>105507</v>
      </c>
      <c r="G48" s="21"/>
      <c r="H48" s="67">
        <f>SUM(H44:H46)</f>
        <v>4871.8562000000002</v>
      </c>
      <c r="I48" s="83"/>
      <c r="J48" s="87">
        <f>IFERROR(H48/F48,"")</f>
        <v>4.6175667965158713E-2</v>
      </c>
      <c r="K48" s="86"/>
      <c r="L48" s="67">
        <f>SUM(L44:L46)</f>
        <v>0</v>
      </c>
      <c r="M48" s="83"/>
      <c r="N48" s="87">
        <f>N44</f>
        <v>0.05</v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90</v>
      </c>
      <c r="W53" s="44"/>
      <c r="X53" s="161" t="s">
        <v>4</v>
      </c>
      <c r="Y53" s="44"/>
      <c r="Z53" s="161" t="s">
        <v>7</v>
      </c>
      <c r="AA53" s="44"/>
      <c r="AB53" s="161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B54" s="162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B55" s="163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6" t="s">
        <v>96</v>
      </c>
      <c r="D58" s="157" t="s">
        <v>83</v>
      </c>
      <c r="E58" s="21"/>
      <c r="F58" s="3">
        <v>0</v>
      </c>
      <c r="G58" s="127"/>
      <c r="H58" s="3">
        <v>0</v>
      </c>
      <c r="I58" s="127"/>
      <c r="J58" s="194"/>
      <c r="K58" s="195"/>
      <c r="L58" s="196"/>
      <c r="M58" s="127"/>
      <c r="N58" s="194"/>
      <c r="O58" s="195"/>
      <c r="P58" s="196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6" t="s">
        <v>97</v>
      </c>
      <c r="D60" s="157" t="s">
        <v>84</v>
      </c>
      <c r="E60" s="21"/>
      <c r="F60" s="3">
        <v>56257</v>
      </c>
      <c r="G60" s="127"/>
      <c r="H60" s="3">
        <f>0.95*49250</f>
        <v>46787.5</v>
      </c>
      <c r="I60" s="127"/>
      <c r="J60" s="194"/>
      <c r="K60" s="195"/>
      <c r="L60" s="196"/>
      <c r="M60" s="127"/>
      <c r="N60" s="194"/>
      <c r="O60" s="195"/>
      <c r="P60" s="196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103044.5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6" t="s">
        <v>98</v>
      </c>
      <c r="D62" s="157" t="s">
        <v>85</v>
      </c>
      <c r="E62" s="21"/>
      <c r="F62" s="3">
        <v>0</v>
      </c>
      <c r="G62" s="127"/>
      <c r="H62" s="3">
        <v>0</v>
      </c>
      <c r="I62" s="127"/>
      <c r="J62" s="194"/>
      <c r="K62" s="195"/>
      <c r="L62" s="196"/>
      <c r="M62" s="127"/>
      <c r="N62" s="194"/>
      <c r="O62" s="195"/>
      <c r="P62" s="196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6" t="s">
        <v>99</v>
      </c>
      <c r="D64" s="157" t="s">
        <v>86</v>
      </c>
      <c r="E64" s="21"/>
      <c r="F64" s="3">
        <v>0</v>
      </c>
      <c r="G64" s="127"/>
      <c r="H64" s="3">
        <v>0</v>
      </c>
      <c r="I64" s="127"/>
      <c r="J64" s="194"/>
      <c r="K64" s="195"/>
      <c r="L64" s="196"/>
      <c r="M64" s="127"/>
      <c r="N64" s="194"/>
      <c r="O64" s="195"/>
      <c r="P64" s="196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6" t="s">
        <v>100</v>
      </c>
      <c r="D66" s="157" t="s">
        <v>87</v>
      </c>
      <c r="E66" s="21"/>
      <c r="F66" s="3">
        <v>0</v>
      </c>
      <c r="G66" s="127"/>
      <c r="H66" s="3">
        <v>0</v>
      </c>
      <c r="I66" s="127"/>
      <c r="J66" s="194"/>
      <c r="K66" s="195"/>
      <c r="L66" s="196"/>
      <c r="M66" s="127"/>
      <c r="N66" s="194"/>
      <c r="O66" s="195"/>
      <c r="P66" s="196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1" t="s">
        <v>0</v>
      </c>
      <c r="D68" s="152"/>
      <c r="E68" s="57"/>
      <c r="F68" s="67">
        <f>SUM(F58:F66)</f>
        <v>56257</v>
      </c>
      <c r="G68" s="21"/>
      <c r="H68" s="68">
        <f>SUM(H58:H66)</f>
        <v>46787.5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103044.5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D197"/>
  <sheetViews>
    <sheetView tabSelected="1" topLeftCell="B18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8" t="s">
        <v>105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</row>
    <row r="3" spans="1:37" ht="37" customHeight="1" x14ac:dyDescent="0.65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9</v>
      </c>
      <c r="D11" s="190" t="s">
        <v>55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" customHeight="1" x14ac:dyDescent="0.65">
      <c r="A13" s="13"/>
      <c r="B13" s="29" t="s">
        <v>93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3"/>
      <c r="AC13" s="32"/>
      <c r="AD13" s="32"/>
    </row>
    <row r="14" spans="1:37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7"/>
      <c r="AA14" s="36"/>
      <c r="AB14" s="38"/>
      <c r="AC14" s="39"/>
    </row>
    <row r="15" spans="1:37" ht="39" customHeight="1" x14ac:dyDescent="0.6">
      <c r="A15" s="10"/>
      <c r="B15" s="40"/>
      <c r="C15" s="164"/>
      <c r="D15" s="164"/>
      <c r="F15" s="165" t="s">
        <v>81</v>
      </c>
      <c r="G15" s="166"/>
      <c r="H15" s="167"/>
      <c r="I15" s="41"/>
      <c r="J15" s="168" t="s">
        <v>82</v>
      </c>
      <c r="K15" s="169"/>
      <c r="L15" s="170"/>
      <c r="M15" s="41"/>
      <c r="N15" s="168" t="s">
        <v>2</v>
      </c>
      <c r="O15" s="169"/>
      <c r="P15" s="170"/>
      <c r="Q15" s="41"/>
      <c r="R15" s="161" t="s">
        <v>3</v>
      </c>
      <c r="S15" s="41"/>
      <c r="T15" s="161" t="s">
        <v>6</v>
      </c>
      <c r="U15" s="41"/>
      <c r="V15" s="161" t="s">
        <v>90</v>
      </c>
      <c r="W15" s="41"/>
      <c r="X15" s="161" t="s">
        <v>4</v>
      </c>
      <c r="Y15" s="41"/>
      <c r="Z15" s="161" t="s">
        <v>7</v>
      </c>
      <c r="AA15" s="41"/>
      <c r="AB15" s="161" t="s">
        <v>0</v>
      </c>
      <c r="AC15" s="42"/>
    </row>
    <row r="16" spans="1:37" ht="5" customHeight="1" x14ac:dyDescent="0.6">
      <c r="A16" s="10"/>
      <c r="B16" s="40"/>
      <c r="C16" s="164"/>
      <c r="D16" s="164"/>
      <c r="F16" s="43"/>
      <c r="J16" s="171"/>
      <c r="K16" s="172"/>
      <c r="L16" s="173"/>
      <c r="N16" s="171"/>
      <c r="O16" s="172"/>
      <c r="P16" s="173"/>
      <c r="R16" s="162"/>
      <c r="T16" s="162"/>
      <c r="V16" s="162"/>
      <c r="X16" s="162"/>
      <c r="Z16" s="162"/>
      <c r="AB16" s="162"/>
      <c r="AC16" s="42"/>
    </row>
    <row r="17" spans="1:37" s="45" customFormat="1" ht="29" customHeight="1" thickBot="1" x14ac:dyDescent="0.75">
      <c r="B17" s="46"/>
      <c r="C17" s="164"/>
      <c r="D17" s="164"/>
      <c r="E17" s="41"/>
      <c r="F17" s="47" t="s">
        <v>1</v>
      </c>
      <c r="G17" s="41"/>
      <c r="H17" s="47" t="s">
        <v>89</v>
      </c>
      <c r="J17" s="174"/>
      <c r="K17" s="175"/>
      <c r="L17" s="176"/>
      <c r="N17" s="174"/>
      <c r="O17" s="175"/>
      <c r="P17" s="176"/>
      <c r="R17" s="163"/>
      <c r="T17" s="163"/>
      <c r="V17" s="163"/>
      <c r="X17" s="163"/>
      <c r="Z17" s="163"/>
      <c r="AB17" s="163"/>
      <c r="AC17" s="48"/>
      <c r="AD17" s="41"/>
    </row>
    <row r="18" spans="1:37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  <c r="AC18" s="18"/>
      <c r="AD18" s="15"/>
    </row>
    <row r="19" spans="1:37" s="58" customFormat="1" ht="17" customHeight="1" x14ac:dyDescent="0.6">
      <c r="A19" s="19"/>
      <c r="B19" s="51"/>
      <c r="C19" s="52" t="s">
        <v>92</v>
      </c>
      <c r="D19" s="53"/>
      <c r="E19" s="21"/>
      <c r="F19" s="136">
        <f>SUM(Delta!F21,Lodi!F21,'River Delta'!F21,Manteca!F21,Stockton!F21,Tracy!F21,SJCOE!F21,CCOE!F21)</f>
        <v>2060838.4650999999</v>
      </c>
      <c r="G19" s="54"/>
      <c r="H19" s="136">
        <f>SUM(Delta!H21,Lodi!H21,'River Delta'!H21,Manteca!H21,Stockton!H21,Tracy!H21,SJCOE!H21,CCOE!H21)</f>
        <v>1162829.8499999999</v>
      </c>
      <c r="I19" s="54"/>
      <c r="J19" s="185">
        <f>SUM(Delta!J21,Lodi!J21,'River Delta'!J21,Manteca!J21,Stockton!J21,Tracy!J21,SJCOE!J21,CCOE!J21,)</f>
        <v>677521.5</v>
      </c>
      <c r="K19" s="186"/>
      <c r="L19" s="187"/>
      <c r="M19" s="54"/>
      <c r="N19" s="185">
        <f>SUM(Delta!N21,Lodi!N21,'River Delta'!N21,Manteca!N21,Stockton!N21,Tracy!N21,SJCOE!N21,CCOE!N21,)</f>
        <v>83629.600000000006</v>
      </c>
      <c r="O19" s="186"/>
      <c r="P19" s="187"/>
      <c r="Q19" s="54"/>
      <c r="R19" s="136">
        <f>SUM(Delta!R21,Lodi!R21,'River Delta'!R21,Manteca!R21,Stockton!R21,Tracy!R21,SJCOE!R21,CCOE!R21,)</f>
        <v>664016</v>
      </c>
      <c r="S19" s="54"/>
      <c r="T19" s="136">
        <f>SUM(Delta!T21,Lodi!T21,'River Delta'!T21,Manteca!T21,Stockton!T21,Tracy!T21,SJCOE!T21,CCOE!T21,)</f>
        <v>0</v>
      </c>
      <c r="U19" s="54"/>
      <c r="V19" s="136">
        <f>SUM(Delta!V21,Lodi!V21,'River Delta'!V21,Manteca!V21,Stockton!V21,Tracy!V21,SJCOE!V21,CCOE!V21)</f>
        <v>0</v>
      </c>
      <c r="W19" s="54"/>
      <c r="X19" s="136">
        <f>SUM(Delta!X21,Lodi!X21,'River Delta'!X21,Manteca!X21,Stockton!X21,Tracy!X21,SJCOE!X21,CCOE!X21)</f>
        <v>4148060</v>
      </c>
      <c r="Y19" s="54"/>
      <c r="Z19" s="136">
        <f>SUM(Delta!Z21,Lodi!Z21,'River Delta'!Z21,Manteca!Z21,Stockton!Z21,Tracy!Z21,SJCOE!Z21,CCOE!Z21,)</f>
        <v>181523</v>
      </c>
      <c r="AA19" s="54"/>
      <c r="AB19" s="137">
        <f>SUM(F19:Z19)</f>
        <v>8978418.4151000008</v>
      </c>
      <c r="AC19" s="56"/>
      <c r="AD19" s="57"/>
    </row>
    <row r="20" spans="1:37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59"/>
      <c r="AA20" s="62"/>
      <c r="AB20" s="11"/>
      <c r="AC20" s="42"/>
      <c r="AF20" s="10"/>
      <c r="AH20" s="10"/>
      <c r="AI20" s="10"/>
      <c r="AJ20" s="10"/>
      <c r="AK20" s="10"/>
    </row>
    <row r="21" spans="1:37" s="58" customFormat="1" ht="17" customHeight="1" x14ac:dyDescent="0.6">
      <c r="A21" s="19"/>
      <c r="B21" s="51"/>
      <c r="C21" s="52" t="s">
        <v>95</v>
      </c>
      <c r="D21" s="53"/>
      <c r="E21" s="21"/>
      <c r="F21" s="136">
        <f>SUM(Delta!F23,Lodi!F23,'River Delta'!F23,Manteca!F23,Stockton!F23,Tracy!F23,SJCOE!F23,CCOE!F23)</f>
        <v>1688409.1368</v>
      </c>
      <c r="G21" s="54"/>
      <c r="H21" s="136">
        <f>SUM(Delta!H23,Lodi!H23,'River Delta'!H23,Manteca!H23,Stockton!H23,Tracy!H23,SJCOE!H23,CCOE!H23)</f>
        <v>1220107.1499999999</v>
      </c>
      <c r="I21" s="54"/>
      <c r="J21" s="185">
        <f>SUM(Delta!J23,Lodi!J23,'River Delta'!J23,Manteca!J23,Stockton!J23,Tracy!J23,SJCOE!J23,CCOE!J23,)</f>
        <v>601398.5</v>
      </c>
      <c r="K21" s="186"/>
      <c r="L21" s="187"/>
      <c r="M21" s="54"/>
      <c r="N21" s="185">
        <f>SUM(Delta!N23,Lodi!N23,'River Delta'!N23,Manteca!N23,Stockton!N23,Tracy!N23,SJCOE!N23,CCOE!N23,)</f>
        <v>41814.6</v>
      </c>
      <c r="O21" s="186"/>
      <c r="P21" s="187"/>
      <c r="Q21" s="54"/>
      <c r="R21" s="136">
        <f>SUM(Delta!R23,Lodi!R23,'River Delta'!R23,Manteca!R23,Stockton!R23,Tracy!R23,SJCOE!R23,CCOE!R23,)</f>
        <v>113280</v>
      </c>
      <c r="S21" s="54"/>
      <c r="T21" s="136">
        <f>SUM(Delta!T23,Lodi!T23,'River Delta'!T23,Manteca!T23,Stockton!T23,Tracy!T23,SJCOE!T23,CCOE!T23,)</f>
        <v>0</v>
      </c>
      <c r="U21" s="54"/>
      <c r="V21" s="136">
        <f>SUM(Delta!V23,Lodi!V23,'River Delta'!V23,Manteca!V23,Stockton!V23,Tracy!V23,SJCOE!V23,CCOE!V23)</f>
        <v>0</v>
      </c>
      <c r="W21" s="54"/>
      <c r="X21" s="136">
        <f>SUM(Delta!X23,Lodi!X23,'River Delta'!X23,Manteca!X23,Stockton!X23,Tracy!X23,SJCOE!X23,CCOE!X23,)</f>
        <v>539250</v>
      </c>
      <c r="Y21" s="54"/>
      <c r="Z21" s="136">
        <f>SUM(Delta!Z23,Lodi!Z23,'River Delta'!Z23,Manteca!Z23,Stockton!Z23,Tracy!Z23,SJCOE!Z23,CCOE!Z23,)</f>
        <v>0</v>
      </c>
      <c r="AA21" s="54"/>
      <c r="AB21" s="137">
        <f>SUM(F21:Z21)</f>
        <v>4204259.3868000004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59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52" t="s">
        <v>113</v>
      </c>
      <c r="D23" s="53"/>
      <c r="E23" s="21"/>
      <c r="F23" s="136">
        <f>SUM(Delta!F25,Lodi!F25,'River Delta'!F25,Manteca!F25,Stockton!F25,Tracy!F25,SJCOE!F25,CCOE!F25,)</f>
        <v>0</v>
      </c>
      <c r="G23" s="54"/>
      <c r="H23" s="136">
        <f>SUM(Delta!H25,Lodi!H25,'River Delta'!H25,Manteca!H25,Stockton!H25,Tracy!H25,SJCOE!H25,CCOE!H25)</f>
        <v>100966.95</v>
      </c>
      <c r="I23" s="54"/>
      <c r="J23" s="185">
        <f>SUM(Delta!J25,Lodi!J25,'River Delta'!J25,Manteca!J25,Stockton!J25,Tracy!J25,SJCOE!J25,CCOE!J25,)</f>
        <v>0</v>
      </c>
      <c r="K23" s="186"/>
      <c r="L23" s="187"/>
      <c r="M23" s="54"/>
      <c r="N23" s="185">
        <f>SUM(Delta!N25,Lodi!N25,'River Delta'!N25,Manteca!N25,Stockton!N25,Tracy!N25,SJCOE!N25,CCOE!N25,)</f>
        <v>0</v>
      </c>
      <c r="O23" s="186"/>
      <c r="P23" s="187"/>
      <c r="Q23" s="54"/>
      <c r="R23" s="136">
        <f>SUM(Delta!R25,Lodi!R25,'River Delta'!R25,Manteca!R25,Stockton!R25,Tracy!R25,SJCOE!R25,CCOE!R25,)</f>
        <v>0</v>
      </c>
      <c r="S23" s="54"/>
      <c r="T23" s="136">
        <f>SUM(Delta!T25,Lodi!T25,'River Delta'!T25,Manteca!T25,Stockton!T25,Tracy!T25,SJCOE!T25,CCOE!T25,)</f>
        <v>0</v>
      </c>
      <c r="U23" s="54"/>
      <c r="V23" s="136">
        <f>SUM(Delta!V25,Lodi!V25,'River Delta'!V25,Manteca!V25,Stockton!V25,Tracy!V25,SJCOE!V25,CCOE!V25,)</f>
        <v>0</v>
      </c>
      <c r="W23" s="54"/>
      <c r="X23" s="136">
        <f>SUM(Delta!X25,Lodi!X25,'River Delta'!X25,Manteca!X25,Stockton!X25,Tracy!X25,SJCOE!X25,CCOE!X25,)</f>
        <v>0</v>
      </c>
      <c r="Y23" s="54"/>
      <c r="Z23" s="136">
        <f>SUM(Delta!Z25,Lodi!Z25,'River Delta'!Z25,Manteca!Z25,Stockton!Z25,Tracy!Z25,SJCOE!Z25,CCOE!Z25,)</f>
        <v>0</v>
      </c>
      <c r="AA23" s="54"/>
      <c r="AB23" s="137">
        <f>SUM(F23:Z23)</f>
        <v>100966.95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59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52" t="s">
        <v>114</v>
      </c>
      <c r="D25" s="53"/>
      <c r="E25" s="21"/>
      <c r="F25" s="136">
        <f>SUM(Delta!F27,Lodi!F27,'River Delta'!F27,Manteca!F27,Stockton!F27,Tracy!F27,SJCOE!F27,CCOE!F27)</f>
        <v>0</v>
      </c>
      <c r="G25" s="54"/>
      <c r="H25" s="136">
        <f>SUM(Delta!H27,Lodi!H27,'River Delta'!H27,Manteca!H27,Stockton!H27,Tracy!H27,SJCOE!H27,CCOE!H27,)</f>
        <v>37728.299999999996</v>
      </c>
      <c r="I25" s="54"/>
      <c r="J25" s="185">
        <f>SUM(Delta!J27,Lodi!J27,'River Delta'!J27,Manteca!J27,Stockton!J27,Tracy!J27,SJCOE!J27,CCOE!J27)</f>
        <v>0</v>
      </c>
      <c r="K25" s="186"/>
      <c r="L25" s="187"/>
      <c r="M25" s="54"/>
      <c r="N25" s="185">
        <f>SUM(Delta!N27,Lodi!N27,'River Delta'!N27,Manteca!N27,Stockton!N27,Tracy!N27,SJCOE!N27,CCOE!N27,)</f>
        <v>0</v>
      </c>
      <c r="O25" s="186"/>
      <c r="P25" s="187"/>
      <c r="Q25" s="54"/>
      <c r="R25" s="136">
        <f>SUM(Delta!R27,Lodi!R27,'River Delta'!R27,Manteca!R27,Stockton!R27,Tracy!R27,SJCOE!R27,CCOE!R27,)</f>
        <v>0</v>
      </c>
      <c r="S25" s="54"/>
      <c r="T25" s="136">
        <f>SUM(Delta!T27,Lodi!T27,'River Delta'!T27,Manteca!T27,Stockton!T27,Tracy!T27,SJCOE!T27,CCOE!T27,)</f>
        <v>0</v>
      </c>
      <c r="U25" s="54"/>
      <c r="V25" s="136">
        <f>SUM(Delta!V27,Lodi!V27,'River Delta'!V27,Manteca!V27,Stockton!V27,Tracy!V27,SJCOE!V27,CCOE!V27)</f>
        <v>0</v>
      </c>
      <c r="W25" s="54"/>
      <c r="X25" s="136">
        <f>SUM(Delta!X27,Lodi!X27,'River Delta'!X27,Manteca!X27,Stockton!X27,Tracy!X27,SJCOE!X27,CCOE!X27,)</f>
        <v>0</v>
      </c>
      <c r="Y25" s="54"/>
      <c r="Z25" s="136">
        <f>SUM(Delta!Z27,Lodi!Z27,'River Delta'!Z27,Manteca!Z27,Stockton!Z27,Tracy!Z27,SJCOE!Z27,CCOE!Z27)</f>
        <v>0</v>
      </c>
      <c r="AA25" s="54"/>
      <c r="AB25" s="137">
        <f>SUM(F25:Z25)</f>
        <v>37728.299999999996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59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52" t="s">
        <v>115</v>
      </c>
      <c r="D27" s="53"/>
      <c r="E27" s="21"/>
      <c r="F27" s="136">
        <f>SUM(Delta!F29,Lodi!F29,'River Delta'!F29,Manteca!F29,Stockton!F29,Tracy!F29,SJCOE!F29,CCOE!F29)</f>
        <v>24789.252</v>
      </c>
      <c r="G27" s="54"/>
      <c r="H27" s="136">
        <f>SUM(Delta!H29,Lodi!H29,'River Delta'!H29,Manteca!H29,Stockton!H29,Tracy!H29,SJCOE!H29,CCOE!H29,)</f>
        <v>243910.75</v>
      </c>
      <c r="I27" s="54"/>
      <c r="J27" s="185">
        <f>SUM(Delta!J29,Lodi!J29,'River Delta'!J29,Manteca!J29,Stockton!J29,Tracy!J29,SJCOE!J29,CCOE!J29,)</f>
        <v>0</v>
      </c>
      <c r="K27" s="186"/>
      <c r="L27" s="187"/>
      <c r="M27" s="54"/>
      <c r="N27" s="185">
        <f>SUM(Delta!N29,Lodi!N29,'River Delta'!N29,Manteca!N29,Stockton!N29,Tracy!N29,SJCOE!N29,CCOE!N29,)</f>
        <v>0</v>
      </c>
      <c r="O27" s="186"/>
      <c r="P27" s="187"/>
      <c r="Q27" s="54"/>
      <c r="R27" s="136">
        <f>SUM(Delta!R29,Lodi!R29,'River Delta'!R29,Manteca!R29,Stockton!R29,Tracy!R29,SJCOE!R29,CCOE!R29)</f>
        <v>3182</v>
      </c>
      <c r="S27" s="54"/>
      <c r="T27" s="136">
        <f>SUM(Delta!T29,Lodi!T29,'River Delta'!T29,Manteca!T29,Stockton!T29,Tracy!T29,SJCOE!T29,CCOE!T29,)</f>
        <v>0</v>
      </c>
      <c r="U27" s="54"/>
      <c r="V27" s="136">
        <f>SUM(Delta!V29,Lodi!V29,'River Delta'!V29,Manteca!V29,Stockton!V29,Tracy!V29,SJCOE!V29,CCOE!V29,)</f>
        <v>0</v>
      </c>
      <c r="W27" s="54"/>
      <c r="X27" s="136">
        <f>SUM(Delta!X29,Lodi!X29,'River Delta'!X29,Manteca!X29,Stockton!X29,Tracy!X29,SJCOE!X29,CCOE!X29,)</f>
        <v>20961</v>
      </c>
      <c r="Y27" s="54"/>
      <c r="Z27" s="136">
        <f>SUM(Delta!Z29,Lodi!Z29,'River Delta'!Z29,Manteca!Z29,Stockton!Z29,Tracy!Z29,SJCOE!Z29,CCOE!Z29,)</f>
        <v>0</v>
      </c>
      <c r="AA27" s="54"/>
      <c r="AB27" s="137">
        <f>SUM(F27:Z27)</f>
        <v>292843.00199999998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59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52" t="s">
        <v>116</v>
      </c>
      <c r="D29" s="53"/>
      <c r="E29" s="21"/>
      <c r="F29" s="136">
        <f>SUM(Delta!F31,Lodi!F31,'River Delta'!F31,Manteca!F31,Stockton!F31,Tracy!F31,SJCOE!F31,CCOE!F31)</f>
        <v>746129.43729999999</v>
      </c>
      <c r="G29" s="54"/>
      <c r="H29" s="136">
        <f>SUM(Delta!H31,Lodi!H31,'River Delta'!H31,Manteca!H31,Stockton!H31,Tracy!H31,SJCOE!H31,CCOE!H31)</f>
        <v>252031.45</v>
      </c>
      <c r="I29" s="54"/>
      <c r="J29" s="185">
        <f>SUM(Delta!J31,Lodi!J31,'River Delta'!J31,Manteca!J31,Stockton!J31,Tracy!J31,SJCOE!J31,CCOE!J31,)</f>
        <v>0</v>
      </c>
      <c r="K29" s="186"/>
      <c r="L29" s="187"/>
      <c r="M29" s="54"/>
      <c r="N29" s="185">
        <f>SUM(Delta!N31,Lodi!N31,'River Delta'!N31,Manteca!N31,Stockton!N31,Tracy!N31,SJCOE!N31,CCOE!N31,)</f>
        <v>710853</v>
      </c>
      <c r="O29" s="186"/>
      <c r="P29" s="187"/>
      <c r="Q29" s="54"/>
      <c r="R29" s="136">
        <f>SUM(Delta!R31,Lodi!R31,'River Delta'!R31,Manteca!R31,Stockton!R31,Tracy!R31,SJCOE!R31,CCOE!R31,)</f>
        <v>13096.5</v>
      </c>
      <c r="S29" s="54"/>
      <c r="T29" s="136">
        <f>SUM(Delta!T31,Lodi!T31,'River Delta'!T31,Manteca!T31,Stockton!T31,Tracy!T31,SJCOE!T31,CCOE!T31,)</f>
        <v>0</v>
      </c>
      <c r="U29" s="54"/>
      <c r="V29" s="136">
        <f>SUM(Delta!V31,Lodi!V31,'River Delta'!V31,Manteca!V31,Stockton!V31,Tracy!V31,SJCOE!V31,CCOE!V31)</f>
        <v>0</v>
      </c>
      <c r="W29" s="54"/>
      <c r="X29" s="136">
        <f>SUM(Delta!X31,Lodi!X31,'River Delta'!X31,Manteca!X31,Stockton!X31,Tracy!X31,SJCOE!X31,CCOE!X31,)</f>
        <v>49914</v>
      </c>
      <c r="Y29" s="54"/>
      <c r="Z29" s="136">
        <f>SUM(Delta!Z31,Lodi!Z31,'River Delta'!Z31,Manteca!Z31,Stockton!Z31,Tracy!Z31,SJCOE!Z31,CCOE!Z31,)</f>
        <v>60508</v>
      </c>
      <c r="AA29" s="54"/>
      <c r="AB29" s="137">
        <f>SUM(F29:Z29)</f>
        <v>1832532.3873000001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59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52" t="s">
        <v>117</v>
      </c>
      <c r="D31" s="53"/>
      <c r="E31" s="21"/>
      <c r="F31" s="136">
        <f>SUM(Delta!F33,Lodi!F33,'River Delta'!F33,Manteca!F33,Stockton!F33,Tracy!F33,SJCOE!F33,CCOE!F33,)</f>
        <v>0</v>
      </c>
      <c r="G31" s="54"/>
      <c r="H31" s="136">
        <f>SUM(Delta!H33,Lodi!H33,'River Delta'!H33,Manteca!H33,Stockton!H33,Tracy!H33,SJCOE!H33,CCOE!H33)</f>
        <v>0</v>
      </c>
      <c r="I31" s="54"/>
      <c r="J31" s="185">
        <f>SUM(Delta!J33,Lodi!J33,'River Delta'!J33,Manteca!J33,Stockton!J33,Tracy!J33,SJCOE!J33,CCOE!J33,)</f>
        <v>0</v>
      </c>
      <c r="K31" s="186"/>
      <c r="L31" s="187"/>
      <c r="M31" s="54"/>
      <c r="N31" s="185">
        <f>SUM(Delta!N33,Lodi!N33,'River Delta'!N33,Manteca!N33,Stockton!N33,Tracy!N33,SJCOE!N33,CCOE!N33,)</f>
        <v>0</v>
      </c>
      <c r="O31" s="186"/>
      <c r="P31" s="187"/>
      <c r="Q31" s="54"/>
      <c r="R31" s="136">
        <f>SUM(Delta!R33,Lodi!R33,'River Delta'!R33,Manteca!R33,Stockton!R33,Tracy!R33,SJCOE!R33,CCOE!R33,)</f>
        <v>0</v>
      </c>
      <c r="S31" s="54"/>
      <c r="T31" s="136">
        <f>SUM(Delta!T33,Lodi!T33,'River Delta'!T33,Manteca!T33,Stockton!T33,Tracy!T33,SJCOE!T33,CCOE!T33,)</f>
        <v>0</v>
      </c>
      <c r="U31" s="54"/>
      <c r="V31" s="136">
        <f>SUM(Delta!V33,Lodi!V33,'River Delta'!V33,Manteca!V33,Stockton!V33,Tracy!V33,SJCOE!V33,CCOE!V33,)</f>
        <v>0</v>
      </c>
      <c r="W31" s="54"/>
      <c r="X31" s="136">
        <f>SUM(Delta!X33,Lodi!X33,'River Delta'!X33,Manteca!X33,Stockton!X33,Tracy!X33,SJCOE!X33,CCOE!X33)</f>
        <v>0</v>
      </c>
      <c r="Y31" s="54"/>
      <c r="Z31" s="136">
        <f>SUM(Delta!Z33,Lodi!Z33,'River Delta'!Z33,Manteca!Z33,Stockton!Z33,Tracy!Z33,SJCOE!Z33,CCOE!Z33,)</f>
        <v>0</v>
      </c>
      <c r="AA31" s="54"/>
      <c r="AB31" s="137">
        <f>SUM(F31:Z31)</f>
        <v>0</v>
      </c>
      <c r="AC31" s="56"/>
      <c r="AD31" s="57"/>
    </row>
    <row r="32" spans="1:37" ht="5" customHeight="1" thickBot="1" x14ac:dyDescent="0.8">
      <c r="A32" s="13"/>
      <c r="B32" s="49"/>
      <c r="C32" s="149"/>
      <c r="D32" s="149"/>
      <c r="E32" s="14"/>
      <c r="F32" s="63"/>
      <c r="G32" s="10"/>
      <c r="H32" s="63"/>
      <c r="I32" s="10"/>
      <c r="J32" s="150"/>
      <c r="K32" s="150"/>
      <c r="L32" s="150"/>
      <c r="M32" s="10"/>
      <c r="N32" s="150"/>
      <c r="O32" s="150"/>
      <c r="P32" s="150"/>
      <c r="Q32" s="15"/>
      <c r="R32" s="65"/>
      <c r="T32" s="66"/>
      <c r="V32" s="66"/>
      <c r="X32" s="66"/>
      <c r="Z32" s="66"/>
      <c r="AB32" s="66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51" t="s">
        <v>0</v>
      </c>
      <c r="D33" s="152"/>
      <c r="E33" s="57"/>
      <c r="F33" s="138">
        <f>SUM(F19:F31)</f>
        <v>4520166.2911999999</v>
      </c>
      <c r="G33" s="21"/>
      <c r="H33" s="138">
        <f>SUM(H19:H31)</f>
        <v>3017574.45</v>
      </c>
      <c r="I33" s="57"/>
      <c r="J33" s="177">
        <f>SUM(J19:L31)</f>
        <v>1278920</v>
      </c>
      <c r="K33" s="178"/>
      <c r="L33" s="179"/>
      <c r="M33" s="57"/>
      <c r="N33" s="153">
        <f>SUM(N19:P31)</f>
        <v>836297.2</v>
      </c>
      <c r="O33" s="154"/>
      <c r="P33" s="155"/>
      <c r="Q33" s="57"/>
      <c r="R33" s="138">
        <f>SUM(R19:R31)</f>
        <v>793574.5</v>
      </c>
      <c r="S33" s="57"/>
      <c r="T33" s="138">
        <f>SUM(T19:T31)</f>
        <v>0</v>
      </c>
      <c r="U33" s="57"/>
      <c r="V33" s="139">
        <f>SUM(V19:V31)</f>
        <v>0</v>
      </c>
      <c r="W33" s="57"/>
      <c r="X33" s="139">
        <f>SUM(X19:X31)</f>
        <v>4758185</v>
      </c>
      <c r="Y33" s="57"/>
      <c r="Z33" s="139">
        <f>SUM(Z19:Z31)</f>
        <v>242031</v>
      </c>
      <c r="AA33" s="57"/>
      <c r="AB33" s="139">
        <f>SUM(AB19:AB31)</f>
        <v>15446748.441200001</v>
      </c>
      <c r="AC33" s="56"/>
      <c r="AD33" s="57"/>
    </row>
    <row r="34" spans="1:37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  <c r="AC34" s="73"/>
      <c r="AF34" s="10"/>
      <c r="AH34" s="10"/>
      <c r="AI34" s="10"/>
      <c r="AJ34" s="10"/>
      <c r="AK34" s="10"/>
    </row>
    <row r="35" spans="1:37" ht="3" customHeight="1" x14ac:dyDescent="0.65">
      <c r="O35" s="10"/>
      <c r="P35" s="10"/>
      <c r="AB35" s="12"/>
      <c r="AF35" s="10"/>
      <c r="AH35" s="10"/>
      <c r="AI35" s="10"/>
      <c r="AJ35" s="10"/>
      <c r="AK35" s="10"/>
    </row>
    <row r="36" spans="1:37" ht="11.5" customHeight="1" x14ac:dyDescent="0.65">
      <c r="O36" s="10"/>
      <c r="P36" s="10"/>
      <c r="AB36" s="12"/>
      <c r="AF36" s="10"/>
      <c r="AH36" s="10"/>
      <c r="AI36" s="10"/>
      <c r="AJ36" s="10"/>
      <c r="AK36" s="10"/>
    </row>
    <row r="37" spans="1:37" s="11" customFormat="1" ht="23" customHeight="1" x14ac:dyDescent="0.65">
      <c r="A37" s="13"/>
      <c r="B37" s="29" t="s">
        <v>108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10"/>
      <c r="AC37" s="10"/>
      <c r="AD37" s="24"/>
      <c r="AE37" s="24"/>
      <c r="AF37" s="24"/>
      <c r="AG37" s="24"/>
      <c r="AH37" s="24"/>
      <c r="AI37" s="25"/>
      <c r="AJ37" s="24"/>
      <c r="AK37" s="24"/>
    </row>
    <row r="38" spans="1:37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5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57" customHeight="1" x14ac:dyDescent="0.65">
      <c r="A39" s="9"/>
      <c r="B39" s="40"/>
      <c r="C39" s="76"/>
      <c r="D39" s="77"/>
      <c r="E39" s="41"/>
      <c r="F39" s="161" t="s">
        <v>107</v>
      </c>
      <c r="G39" s="41"/>
      <c r="H39" s="181" t="s">
        <v>103</v>
      </c>
      <c r="I39" s="182"/>
      <c r="J39" s="183"/>
      <c r="K39" s="41"/>
      <c r="L39" s="181" t="s">
        <v>106</v>
      </c>
      <c r="M39" s="182"/>
      <c r="N39" s="183"/>
      <c r="O39" s="42"/>
      <c r="R39" s="184"/>
      <c r="S39" s="184"/>
      <c r="T39" s="184"/>
      <c r="V39" s="28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ht="5" customHeight="1" x14ac:dyDescent="0.65">
      <c r="A40" s="13"/>
      <c r="B40" s="40"/>
      <c r="C40" s="10"/>
      <c r="E40" s="78"/>
      <c r="F40" s="162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4"/>
      <c r="S40" s="184"/>
      <c r="T40" s="184"/>
      <c r="U40" s="15"/>
      <c r="V40" s="28"/>
    </row>
    <row r="41" spans="1:37" ht="13.75" thickBot="1" x14ac:dyDescent="0.75">
      <c r="A41" s="11"/>
      <c r="B41" s="40"/>
      <c r="C41" s="80"/>
      <c r="D41" s="81"/>
      <c r="E41" s="41"/>
      <c r="F41" s="163"/>
      <c r="G41" s="41"/>
      <c r="H41" s="47" t="s">
        <v>102</v>
      </c>
      <c r="I41" s="41"/>
      <c r="J41" s="47" t="s">
        <v>101</v>
      </c>
      <c r="K41" s="41"/>
      <c r="L41" s="47" t="s">
        <v>102</v>
      </c>
      <c r="M41" s="41"/>
      <c r="N41" s="47" t="s">
        <v>101</v>
      </c>
      <c r="O41" s="42"/>
      <c r="Q41" s="10"/>
      <c r="R41" s="184"/>
      <c r="S41" s="184"/>
      <c r="T41" s="184"/>
      <c r="U41" s="41"/>
      <c r="V41" s="82"/>
    </row>
    <row r="42" spans="1:37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  <c r="U42" s="83"/>
      <c r="V42" s="28"/>
    </row>
    <row r="43" spans="1:37" s="89" customFormat="1" ht="16" customHeight="1" x14ac:dyDescent="0.6">
      <c r="A43" s="84"/>
      <c r="B43" s="85"/>
      <c r="C43" s="52" t="s">
        <v>112</v>
      </c>
      <c r="D43" s="53"/>
      <c r="E43" s="83"/>
      <c r="F43" s="136">
        <f>SUM(Delta!F44,Lodi!F44,'River Delta'!F44,Manteca!F44,Stockton!F44,Tracy!F44,SJCOE!F44,CCOE!F44,)</f>
        <v>4728054</v>
      </c>
      <c r="G43" s="54"/>
      <c r="H43" s="136">
        <f>SUM(Delta!H44,Lodi!H44,'River Delta'!H44,Manteca!H44,Stockton!H44,Tracy!H44,SJCOE!H44,CCOE!H44,)</f>
        <v>212760.01180000001</v>
      </c>
      <c r="I43" s="86"/>
      <c r="J43" s="87">
        <f>IFERROR(H43/F43,"")</f>
        <v>4.4999488542220543E-2</v>
      </c>
      <c r="K43" s="86"/>
      <c r="L43" s="136">
        <f>SUM(Delta!L44,Lodi!L44,'River Delta'!L44,Manteca!L44,Stockton!L44,Tracy!L44,SJCOE!L44,CCOE!L44,)</f>
        <v>158556.55000000002</v>
      </c>
      <c r="M43" s="88"/>
      <c r="N43" s="87">
        <f>IFERROR(L43/F43,"")</f>
        <v>3.3535266306180096E-2</v>
      </c>
      <c r="O43" s="42"/>
      <c r="P43" s="83"/>
      <c r="R43" s="90"/>
      <c r="S43" s="86"/>
      <c r="T43" s="91"/>
      <c r="U43" s="83"/>
      <c r="V43" s="92"/>
      <c r="W43" s="83"/>
      <c r="Y43" s="83"/>
      <c r="AA43" s="83"/>
      <c r="AC43" s="83"/>
      <c r="AD43" s="83"/>
      <c r="AF43" s="83"/>
      <c r="AH43" s="83"/>
      <c r="AI43" s="93"/>
      <c r="AJ43" s="83"/>
      <c r="AK43" s="83"/>
    </row>
    <row r="44" spans="1:37" s="102" customFormat="1" ht="6" customHeight="1" x14ac:dyDescent="0.6">
      <c r="A44" s="94"/>
      <c r="B44" s="95"/>
      <c r="C44" s="96"/>
      <c r="D44" s="97"/>
      <c r="E44" s="78"/>
      <c r="F44" s="79"/>
      <c r="G44" s="98"/>
      <c r="H44" s="79"/>
      <c r="I44" s="99"/>
      <c r="J44" s="100"/>
      <c r="K44" s="99"/>
      <c r="L44" s="79"/>
      <c r="M44" s="79"/>
      <c r="N44" s="79"/>
      <c r="O44" s="56"/>
      <c r="P44" s="101"/>
      <c r="R44" s="99"/>
      <c r="S44" s="99"/>
      <c r="T44" s="99"/>
      <c r="U44" s="99"/>
      <c r="V44" s="103"/>
      <c r="W44" s="101"/>
      <c r="Y44" s="101"/>
      <c r="AA44" s="101"/>
      <c r="AC44" s="101"/>
      <c r="AD44" s="101"/>
      <c r="AF44" s="101"/>
      <c r="AH44" s="101"/>
      <c r="AI44" s="104"/>
      <c r="AJ44" s="101"/>
      <c r="AK44" s="101"/>
    </row>
    <row r="45" spans="1:37" s="89" customFormat="1" ht="15.5" x14ac:dyDescent="0.6">
      <c r="A45" s="84"/>
      <c r="B45" s="85"/>
      <c r="C45" s="52" t="s">
        <v>111</v>
      </c>
      <c r="D45" s="53"/>
      <c r="E45" s="83"/>
      <c r="F45" s="136">
        <f>SUM(Delta!F46,Lodi!F46,'River Delta'!F46,Manteca!F46,Stockton!F46,Tracy!F46,SJCOE!F46,CCOE!F46,)</f>
        <v>3171131</v>
      </c>
      <c r="G45" s="54"/>
      <c r="H45" s="136">
        <f>SUM(Delta!H46,Lodi!H46,'River Delta'!H46,Manteca!H46,Stockton!H46,Tracy!H46,SJCOE!H46,CCOE!H46)</f>
        <v>0</v>
      </c>
      <c r="I45" s="105"/>
      <c r="J45" s="87">
        <f>IFERROR(H45/F45,"")</f>
        <v>0</v>
      </c>
      <c r="K45" s="86"/>
      <c r="L45" s="106"/>
      <c r="M45" s="107"/>
      <c r="N45" s="106"/>
      <c r="O45" s="56"/>
      <c r="P45" s="83"/>
      <c r="R45" s="90"/>
      <c r="S45" s="86"/>
      <c r="T45" s="91"/>
      <c r="U45" s="83"/>
      <c r="V45" s="92"/>
      <c r="W45" s="83"/>
      <c r="Y45" s="83"/>
      <c r="AA45" s="83"/>
      <c r="AC45" s="83"/>
      <c r="AD45" s="83"/>
      <c r="AF45" s="83"/>
      <c r="AH45" s="83"/>
      <c r="AI45" s="93"/>
      <c r="AJ45" s="83"/>
      <c r="AK45" s="83"/>
    </row>
    <row r="46" spans="1:37" s="102" customFormat="1" ht="5" customHeight="1" thickBot="1" x14ac:dyDescent="0.8">
      <c r="A46" s="94"/>
      <c r="B46" s="95"/>
      <c r="C46" s="149"/>
      <c r="D46" s="149"/>
      <c r="E46" s="78"/>
      <c r="F46" s="108"/>
      <c r="G46" s="98"/>
      <c r="H46" s="108"/>
      <c r="I46" s="78"/>
      <c r="J46" s="108"/>
      <c r="K46" s="78"/>
      <c r="L46" s="109"/>
      <c r="M46" s="78"/>
      <c r="N46" s="109"/>
      <c r="O46" s="42"/>
      <c r="P46" s="101"/>
      <c r="R46" s="99"/>
      <c r="S46" s="99"/>
      <c r="T46" s="99"/>
      <c r="U46" s="99"/>
      <c r="V46" s="103"/>
      <c r="W46" s="101"/>
      <c r="Y46" s="101"/>
      <c r="AA46" s="101"/>
      <c r="AC46" s="101"/>
      <c r="AD46" s="101"/>
      <c r="AF46" s="101"/>
      <c r="AH46" s="101"/>
      <c r="AI46" s="104"/>
      <c r="AJ46" s="101"/>
      <c r="AK46" s="101"/>
    </row>
    <row r="47" spans="1:37" s="89" customFormat="1" ht="15.5" x14ac:dyDescent="0.6">
      <c r="A47" s="84"/>
      <c r="B47" s="85"/>
      <c r="C47" s="151" t="s">
        <v>0</v>
      </c>
      <c r="D47" s="152"/>
      <c r="E47" s="83"/>
      <c r="F47" s="138">
        <f>SUM(F43:F45)</f>
        <v>7899185</v>
      </c>
      <c r="G47" s="21"/>
      <c r="H47" s="138">
        <f>SUM(H43:H45)</f>
        <v>212760.01180000001</v>
      </c>
      <c r="I47" s="83"/>
      <c r="J47" s="87">
        <f>IFERROR(H47/F47,"")</f>
        <v>2.6934425741389777E-2</v>
      </c>
      <c r="K47" s="86"/>
      <c r="L47" s="138">
        <f>L43</f>
        <v>158556.55000000002</v>
      </c>
      <c r="M47" s="83"/>
      <c r="N47" s="87">
        <f>N43</f>
        <v>3.3535266306180096E-2</v>
      </c>
      <c r="O47" s="56"/>
      <c r="P47" s="83"/>
      <c r="R47" s="180"/>
      <c r="S47" s="180"/>
      <c r="T47" s="180"/>
      <c r="U47" s="83"/>
      <c r="V47" s="92"/>
      <c r="W47" s="83"/>
      <c r="Y47" s="83"/>
      <c r="AA47" s="83"/>
      <c r="AC47" s="83"/>
      <c r="AD47" s="83"/>
      <c r="AF47" s="83"/>
      <c r="AH47" s="83"/>
      <c r="AI47" s="93"/>
      <c r="AJ47" s="83"/>
      <c r="AK47" s="83"/>
    </row>
    <row r="48" spans="1:37" ht="13" customHeight="1" x14ac:dyDescent="0.65">
      <c r="B48" s="69"/>
      <c r="C48" s="110"/>
      <c r="D48" s="111"/>
      <c r="E48" s="112"/>
      <c r="F48" s="113"/>
      <c r="G48" s="112"/>
      <c r="H48" s="112"/>
      <c r="I48" s="114"/>
      <c r="J48" s="112"/>
      <c r="K48" s="114"/>
      <c r="L48" s="113"/>
      <c r="M48" s="114"/>
      <c r="N48" s="113"/>
      <c r="O48" s="73"/>
      <c r="P48" s="115"/>
      <c r="Q48" s="10"/>
      <c r="R48" s="11"/>
      <c r="S48" s="116"/>
      <c r="T48" s="11"/>
      <c r="U48" s="21"/>
      <c r="V48" s="28"/>
    </row>
    <row r="49" spans="1:37" ht="15.5" x14ac:dyDescent="0.65">
      <c r="B49" s="13"/>
      <c r="C49" s="117"/>
      <c r="D49" s="81"/>
      <c r="E49" s="21"/>
      <c r="F49" s="118"/>
      <c r="G49" s="116"/>
      <c r="H49" s="116"/>
      <c r="J49" s="116"/>
      <c r="K49" s="116"/>
      <c r="L49" s="118"/>
      <c r="M49" s="116"/>
      <c r="N49" s="118"/>
      <c r="Q49" s="116"/>
      <c r="R49" s="11"/>
      <c r="S49" s="21"/>
      <c r="T49" s="28"/>
      <c r="U49" s="28"/>
      <c r="V49" s="28"/>
    </row>
    <row r="50" spans="1:37" s="20" customFormat="1" ht="15.5" x14ac:dyDescent="0.6">
      <c r="A50" s="19"/>
      <c r="B50" s="29" t="s">
        <v>94</v>
      </c>
      <c r="C50" s="119"/>
      <c r="D50" s="120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33"/>
      <c r="Y50" s="32"/>
      <c r="Z50" s="121"/>
      <c r="AA50" s="32"/>
      <c r="AB50" s="122"/>
      <c r="AC50" s="32"/>
      <c r="AD50" s="32"/>
    </row>
    <row r="51" spans="1:37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7"/>
      <c r="AA51" s="36"/>
      <c r="AB51" s="38"/>
      <c r="AC51" s="39"/>
      <c r="AF51" s="10"/>
      <c r="AH51" s="10"/>
      <c r="AI51" s="10"/>
      <c r="AJ51" s="10"/>
      <c r="AK51" s="10"/>
    </row>
    <row r="52" spans="1:37" ht="28" customHeight="1" x14ac:dyDescent="0.6">
      <c r="A52" s="10"/>
      <c r="B52" s="40"/>
      <c r="C52" s="164"/>
      <c r="D52" s="164"/>
      <c r="F52" s="165" t="s">
        <v>81</v>
      </c>
      <c r="G52" s="166"/>
      <c r="H52" s="167"/>
      <c r="I52" s="41"/>
      <c r="J52" s="168" t="s">
        <v>82</v>
      </c>
      <c r="K52" s="169"/>
      <c r="L52" s="170"/>
      <c r="M52" s="41"/>
      <c r="N52" s="168" t="s">
        <v>2</v>
      </c>
      <c r="O52" s="169"/>
      <c r="P52" s="170"/>
      <c r="Q52" s="41"/>
      <c r="R52" s="161" t="s">
        <v>3</v>
      </c>
      <c r="S52" s="41"/>
      <c r="T52" s="161" t="s">
        <v>6</v>
      </c>
      <c r="U52" s="41"/>
      <c r="V52" s="161" t="s">
        <v>90</v>
      </c>
      <c r="W52" s="41"/>
      <c r="X52" s="161" t="s">
        <v>4</v>
      </c>
      <c r="Y52" s="41"/>
      <c r="Z52" s="161" t="s">
        <v>7</v>
      </c>
      <c r="AA52" s="41"/>
      <c r="AB52" s="161" t="s">
        <v>0</v>
      </c>
      <c r="AC52" s="42"/>
      <c r="AF52" s="10"/>
      <c r="AH52" s="10"/>
      <c r="AI52" s="10"/>
      <c r="AJ52" s="10"/>
      <c r="AK52" s="10"/>
    </row>
    <row r="53" spans="1:37" ht="9" customHeight="1" x14ac:dyDescent="0.6">
      <c r="A53" s="10"/>
      <c r="B53" s="40"/>
      <c r="C53" s="164"/>
      <c r="D53" s="164"/>
      <c r="F53" s="43"/>
      <c r="J53" s="171"/>
      <c r="K53" s="172"/>
      <c r="L53" s="173"/>
      <c r="N53" s="171"/>
      <c r="O53" s="172"/>
      <c r="P53" s="173"/>
      <c r="R53" s="162"/>
      <c r="T53" s="162"/>
      <c r="V53" s="162"/>
      <c r="X53" s="162"/>
      <c r="Z53" s="162"/>
      <c r="AB53" s="162"/>
      <c r="AC53" s="42"/>
      <c r="AF53" s="10"/>
      <c r="AH53" s="10"/>
      <c r="AI53" s="10"/>
      <c r="AJ53" s="10"/>
      <c r="AK53" s="10"/>
    </row>
    <row r="54" spans="1:37" s="45" customFormat="1" ht="26.75" thickBot="1" x14ac:dyDescent="0.75">
      <c r="B54" s="46"/>
      <c r="C54" s="164"/>
      <c r="D54" s="164"/>
      <c r="E54" s="41"/>
      <c r="F54" s="47" t="s">
        <v>1</v>
      </c>
      <c r="G54" s="41"/>
      <c r="H54" s="47" t="s">
        <v>89</v>
      </c>
      <c r="J54" s="174"/>
      <c r="K54" s="175"/>
      <c r="L54" s="176"/>
      <c r="N54" s="174"/>
      <c r="O54" s="175"/>
      <c r="P54" s="176"/>
      <c r="R54" s="163"/>
      <c r="T54" s="163"/>
      <c r="V54" s="163"/>
      <c r="X54" s="163"/>
      <c r="Z54" s="163"/>
      <c r="AB54" s="163"/>
      <c r="AC54" s="48"/>
      <c r="AD54" s="41"/>
    </row>
    <row r="55" spans="1:37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7"/>
      <c r="AC55" s="18"/>
      <c r="AD55" s="15"/>
    </row>
    <row r="56" spans="1:37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ht="17" customHeight="1" x14ac:dyDescent="0.65">
      <c r="B57" s="51"/>
      <c r="C57" s="156" t="s">
        <v>96</v>
      </c>
      <c r="D57" s="157" t="s">
        <v>83</v>
      </c>
      <c r="E57" s="21"/>
      <c r="F57" s="140">
        <f>SUM(Delta!F58,Lodi!F58,'River Delta'!F58,Manteca!F58,Stockton!F58,Tracy!F58,SJCOE!F58,CCOE!F58)</f>
        <v>702227.36105999991</v>
      </c>
      <c r="G57" s="21"/>
      <c r="H57" s="140">
        <f>SUM(Delta!H58,Lodi!H58,'River Delta'!H58,Manteca!H58,Stockton!H58,Tracy!H58,SJCOE!H58,CCOE!H58,)</f>
        <v>1150649.1000000001</v>
      </c>
      <c r="I57" s="21"/>
      <c r="J57" s="158">
        <f>SUM(Delta!J58,Lodi!J58,'River Delta'!J58,Manteca!J58,Stockton!J58,Tracy!J58,SJCOE!J58,CCOE!J58,)</f>
        <v>319729.75</v>
      </c>
      <c r="K57" s="159"/>
      <c r="L57" s="160"/>
      <c r="M57" s="21"/>
      <c r="N57" s="158">
        <f>SUM(Delta!N58,Lodi!N58,'River Delta'!N58,Manteca!N58,Stockton!N58,Tracy!N58,SJCOE!N58,CCOE!N58,)</f>
        <v>209074</v>
      </c>
      <c r="O57" s="159"/>
      <c r="P57" s="160"/>
      <c r="Q57" s="21"/>
      <c r="R57" s="140">
        <f>SUM(Delta!R58,Lodi!R58,'River Delta'!R58,Manteca!R58,Stockton!R58,Tracy!R58,SJCOE!R58,CCOE!R58,)</f>
        <v>197315</v>
      </c>
      <c r="S57" s="21"/>
      <c r="T57" s="140">
        <f>SUM(Delta!T58,Lodi!T58,'River Delta'!T58,Manteca!T58,Stockton!T58,Tracy!T58,SJCOE!T58,CCOE!T58,)</f>
        <v>0</v>
      </c>
      <c r="U57" s="21"/>
      <c r="V57" s="140">
        <f>SUM(Delta!V58,Lodi!V58,'River Delta'!V58,Manteca!V58,Stockton!V58,Tracy!V58,SJCOE!V58,CCOE!V58)</f>
        <v>0</v>
      </c>
      <c r="W57" s="21"/>
      <c r="X57" s="140">
        <f>SUM(Delta!X58,Lodi!X58,'River Delta'!X58,Manteca!X58,Stockton!X58,Tracy!X58,SJCOE!X58,CCOE!X58,)</f>
        <v>142746</v>
      </c>
      <c r="Y57" s="21"/>
      <c r="Z57" s="140">
        <f>SUM(Delta!Z58,Lodi!Z58,'River Delta'!Z58,Manteca!Z58,Stockton!Z58,Tracy!Z58,SJCOE!Z58,CCOE!Z58,)</f>
        <v>0</v>
      </c>
      <c r="AA57" s="54"/>
      <c r="AB57" s="137">
        <f>SUM(F57:Z57)</f>
        <v>2721741.2110600001</v>
      </c>
      <c r="AC57" s="56"/>
      <c r="AD57" s="57"/>
      <c r="AF57" s="10"/>
      <c r="AH57" s="10"/>
      <c r="AI57" s="10"/>
      <c r="AJ57" s="10"/>
      <c r="AK57" s="10"/>
    </row>
    <row r="58" spans="1:37" s="16" customFormat="1" ht="5" customHeight="1" x14ac:dyDescent="0.65">
      <c r="A58" s="9"/>
      <c r="B58" s="49"/>
      <c r="C58" s="50"/>
      <c r="D58" s="14"/>
      <c r="E58" s="15"/>
      <c r="F58" s="141"/>
      <c r="G58" s="142"/>
      <c r="H58" s="141"/>
      <c r="I58" s="143"/>
      <c r="J58" s="141"/>
      <c r="K58" s="141"/>
      <c r="L58" s="141"/>
      <c r="M58" s="143"/>
      <c r="N58" s="141"/>
      <c r="O58" s="141"/>
      <c r="P58" s="141"/>
      <c r="Q58" s="142"/>
      <c r="R58" s="141"/>
      <c r="S58" s="144"/>
      <c r="T58" s="141"/>
      <c r="U58" s="144"/>
      <c r="V58" s="141"/>
      <c r="W58" s="144"/>
      <c r="X58" s="141"/>
      <c r="Y58" s="144"/>
      <c r="Z58" s="141"/>
      <c r="AA58" s="62"/>
      <c r="AB58" s="11"/>
      <c r="AC58" s="18"/>
      <c r="AD58" s="15"/>
    </row>
    <row r="59" spans="1:37" ht="17" customHeight="1" x14ac:dyDescent="0.65">
      <c r="B59" s="51"/>
      <c r="C59" s="156" t="s">
        <v>97</v>
      </c>
      <c r="D59" s="157" t="s">
        <v>84</v>
      </c>
      <c r="E59" s="21"/>
      <c r="F59" s="140">
        <f>SUM(Delta!F60,Lodi!F60,'River Delta'!F60,Manteca!F60,Stockton!F60,Tracy!F60,SJCOE!F60,CCOE!F60,)</f>
        <v>2894682.55118</v>
      </c>
      <c r="G59" s="21"/>
      <c r="H59" s="140">
        <f>SUM(Delta!H60,Lodi!H60,'River Delta'!H60,Manteca!H60,Stockton!H60,Tracy!H60,SJCOE!H60,CCOE!H60,)</f>
        <v>1223639.8999999999</v>
      </c>
      <c r="I59" s="21"/>
      <c r="J59" s="158">
        <f>SUM(Delta!J60,Lodi!J60,'River Delta'!J60,Manteca!J60,Stockton!J60,Tracy!J60,SJCOE!J60,CCOE!J60,)</f>
        <v>0</v>
      </c>
      <c r="K59" s="159"/>
      <c r="L59" s="160"/>
      <c r="M59" s="21"/>
      <c r="N59" s="158">
        <f>SUM(Delta!N60,Lodi!N60,'River Delta'!N60,Manteca!N60,Stockton!N60,Tracy!N60,SJCOE!N60,CCOE!N60,)</f>
        <v>0</v>
      </c>
      <c r="O59" s="159"/>
      <c r="P59" s="160"/>
      <c r="Q59" s="21"/>
      <c r="R59" s="140">
        <f>SUM(Delta!R60,Lodi!R60,'River Delta'!R60,Manteca!R60,Stockton!R60,Tracy!R60,SJCOE!R60,CCOE!R60,)</f>
        <v>0</v>
      </c>
      <c r="S59" s="21"/>
      <c r="T59" s="140">
        <f>SUM(Delta!T60,Lodi!T60,'River Delta'!T60,Manteca!T60,Stockton!T60,Tracy!T60,SJCOE!T60,CCOE!T60,)</f>
        <v>0</v>
      </c>
      <c r="U59" s="21"/>
      <c r="V59" s="140">
        <f>SUM(Delta!V60,Lodi!V60,'River Delta'!V60,Manteca!V60,Stockton!V60,Tracy!V60,SJCOE!V60,CCOE!V60,)</f>
        <v>0</v>
      </c>
      <c r="W59" s="21"/>
      <c r="X59" s="140">
        <f>SUM(Delta!X60,Lodi!X60,'River Delta'!X60,Manteca!X60,Stockton!X60,Tracy!X60,SJCOE!X60,CCOE!X60,)</f>
        <v>4377530</v>
      </c>
      <c r="Y59" s="21"/>
      <c r="Z59" s="140">
        <f>SUM(Delta!Z60,Lodi!Z60,'River Delta'!Z60,Manteca!Z60,Stockton!Z60,Tracy!Z60,SJCOE!Z60,CCOE!Z60,)</f>
        <v>242031</v>
      </c>
      <c r="AA59" s="54"/>
      <c r="AB59" s="137">
        <f>SUM(F59:Z59)</f>
        <v>8737883.4511799999</v>
      </c>
      <c r="AC59" s="56"/>
      <c r="AD59" s="57"/>
      <c r="AF59" s="10"/>
      <c r="AH59" s="10"/>
      <c r="AI59" s="10"/>
      <c r="AJ59" s="10"/>
      <c r="AK59" s="10"/>
    </row>
    <row r="60" spans="1:37" s="16" customFormat="1" ht="5" customHeight="1" x14ac:dyDescent="0.65">
      <c r="A60" s="9"/>
      <c r="B60" s="49"/>
      <c r="C60" s="50"/>
      <c r="D60" s="14"/>
      <c r="E60" s="15"/>
      <c r="F60" s="141"/>
      <c r="G60" s="142"/>
      <c r="H60" s="141"/>
      <c r="I60" s="143"/>
      <c r="J60" s="141"/>
      <c r="K60" s="141"/>
      <c r="L60" s="141"/>
      <c r="M60" s="143"/>
      <c r="N60" s="141"/>
      <c r="O60" s="141"/>
      <c r="P60" s="141"/>
      <c r="Q60" s="142"/>
      <c r="R60" s="141"/>
      <c r="S60" s="144"/>
      <c r="T60" s="141"/>
      <c r="U60" s="144"/>
      <c r="V60" s="141"/>
      <c r="W60" s="144"/>
      <c r="X60" s="141"/>
      <c r="Y60" s="144"/>
      <c r="Z60" s="141"/>
      <c r="AA60" s="62"/>
      <c r="AB60" s="11"/>
      <c r="AC60" s="18"/>
      <c r="AD60" s="15"/>
    </row>
    <row r="61" spans="1:37" ht="17" customHeight="1" x14ac:dyDescent="0.65">
      <c r="B61" s="51"/>
      <c r="C61" s="156" t="s">
        <v>98</v>
      </c>
      <c r="D61" s="157" t="s">
        <v>85</v>
      </c>
      <c r="E61" s="21"/>
      <c r="F61" s="140">
        <f>SUM(Delta!F62,Lodi!F62,'River Delta'!F62,Manteca!F62,Stockton!F62,Tracy!F62,SJCOE!F62,CCOE!F62,)</f>
        <v>907155.24832999997</v>
      </c>
      <c r="G61" s="21"/>
      <c r="H61" s="140">
        <f>SUM(Delta!H62,Lodi!H62,'River Delta'!H62,Manteca!H62,Stockton!H62,Tracy!H62,SJCOE!H62,CCOE!H62,)</f>
        <v>507540.14999999997</v>
      </c>
      <c r="I61" s="21"/>
      <c r="J61" s="158">
        <f>SUM(Delta!J62,Lodi!J62,'River Delta'!J62,Manteca!J62,Stockton!J62,Tracy!J62,SJCOE!J62,CCOE!J62,)</f>
        <v>336193.65</v>
      </c>
      <c r="K61" s="159"/>
      <c r="L61" s="160"/>
      <c r="M61" s="21"/>
      <c r="N61" s="158">
        <f>SUM(Delta!N62,Lodi!N62,'River Delta'!N62,Manteca!N62,Stockton!N62,Tracy!N62,SJCOE!N62,CCOE!N62,)</f>
        <v>209074</v>
      </c>
      <c r="O61" s="159"/>
      <c r="P61" s="160"/>
      <c r="Q61" s="21"/>
      <c r="R61" s="140">
        <f>SUM(Delta!R62,Lodi!R62,'River Delta'!R62,Manteca!R62,Stockton!R62,Tracy!R62,SJCOE!R62,CCOE!R62)</f>
        <v>197314.5</v>
      </c>
      <c r="S61" s="21"/>
      <c r="T61" s="140">
        <f>SUM(Delta!T62,Lodi!T62,'River Delta'!T62,Manteca!T62,Stockton!T62,Tracy!T62,SJCOE!T62,CCOE!T62,)</f>
        <v>0</v>
      </c>
      <c r="U61" s="21"/>
      <c r="V61" s="140">
        <f>SUM(Delta!V62,Lodi!V62,'River Delta'!V62,Manteca!V62,Stockton!V62,Tracy!V62,SJCOE!V62,CCOE!V62,)</f>
        <v>0</v>
      </c>
      <c r="W61" s="21"/>
      <c r="X61" s="140">
        <f>SUM(Delta!X62,Lodi!X62,'River Delta'!X62,Manteca!X62,Stockton!X62,Tracy!X62,SJCOE!X62,CCOE!X62)</f>
        <v>95164</v>
      </c>
      <c r="Y61" s="21"/>
      <c r="Z61" s="140">
        <f>SUM(Delta!Z62,Lodi!Z62,'River Delta'!Z62,Manteca!Z62,Stockton!Z62,Tracy!Z62,SJCOE!Z62,CCOE!Z62,)</f>
        <v>0</v>
      </c>
      <c r="AA61" s="54"/>
      <c r="AB61" s="137">
        <f>SUM(F61:Z61)</f>
        <v>2252441.5483300001</v>
      </c>
      <c r="AC61" s="56"/>
      <c r="AD61" s="57"/>
      <c r="AF61" s="10"/>
      <c r="AH61" s="10"/>
      <c r="AI61" s="10"/>
      <c r="AJ61" s="10"/>
      <c r="AK61" s="10"/>
    </row>
    <row r="62" spans="1:37" s="16" customFormat="1" ht="5" customHeight="1" x14ac:dyDescent="0.65">
      <c r="A62" s="9"/>
      <c r="B62" s="49"/>
      <c r="C62" s="50"/>
      <c r="D62" s="14"/>
      <c r="E62" s="15"/>
      <c r="F62" s="141"/>
      <c r="G62" s="142"/>
      <c r="H62" s="141"/>
      <c r="I62" s="143"/>
      <c r="J62" s="141"/>
      <c r="K62" s="141"/>
      <c r="L62" s="141"/>
      <c r="M62" s="143"/>
      <c r="N62" s="141"/>
      <c r="O62" s="141"/>
      <c r="P62" s="141"/>
      <c r="Q62" s="142"/>
      <c r="R62" s="141"/>
      <c r="S62" s="144"/>
      <c r="T62" s="141"/>
      <c r="U62" s="144"/>
      <c r="V62" s="141"/>
      <c r="W62" s="144"/>
      <c r="X62" s="141"/>
      <c r="Y62" s="144"/>
      <c r="Z62" s="141"/>
      <c r="AA62" s="62"/>
      <c r="AB62" s="11"/>
      <c r="AC62" s="18"/>
      <c r="AD62" s="15"/>
    </row>
    <row r="63" spans="1:37" ht="17" customHeight="1" x14ac:dyDescent="0.65">
      <c r="B63" s="51"/>
      <c r="C63" s="156" t="s">
        <v>99</v>
      </c>
      <c r="D63" s="157" t="s">
        <v>86</v>
      </c>
      <c r="E63" s="21"/>
      <c r="F63" s="140">
        <f>SUM(Delta!F64,Lodi!F64,'River Delta'!F64,Manteca!F64,Stockton!F64,Tracy!F64,SJCOE!F64,CCOE!F64,)</f>
        <v>16102.089030000001</v>
      </c>
      <c r="G63" s="21"/>
      <c r="H63" s="140">
        <f>SUM(Delta!H64,Lodi!H64,'River Delta'!H64,Manteca!H64,Stockton!H64,Tracy!H64,SJCOE!H64,CCOE!H64,)</f>
        <v>85603.349999999991</v>
      </c>
      <c r="I63" s="21"/>
      <c r="J63" s="158">
        <f>SUM(Delta!J64,Lodi!J64,'River Delta'!J64,Manteca!J64,Stockton!J64,Tracy!J64,SJCOE!J64,CCOE!J64,)</f>
        <v>623296.6</v>
      </c>
      <c r="K63" s="159"/>
      <c r="L63" s="160"/>
      <c r="M63" s="21"/>
      <c r="N63" s="158">
        <f>SUM(Delta!N64,Lodi!N64,'River Delta'!N64,Manteca!N64,Stockton!N64,Tracy!N64,SJCOE!N64,CCOE!N64,)</f>
        <v>418149</v>
      </c>
      <c r="O63" s="159"/>
      <c r="P63" s="160"/>
      <c r="Q63" s="21"/>
      <c r="R63" s="140">
        <f>SUM(Delta!R64,Lodi!R64,'River Delta'!R64,Manteca!R64,Stockton!R64,Tracy!R64,SJCOE!R64,CCOE!R64)</f>
        <v>398945.5</v>
      </c>
      <c r="S63" s="21"/>
      <c r="T63" s="140">
        <f>SUM(Delta!T64,Lodi!T64,'River Delta'!T64,Manteca!T64,Stockton!T64,Tracy!T64,SJCOE!T64,CCOE!T64,)</f>
        <v>0</v>
      </c>
      <c r="U63" s="21"/>
      <c r="V63" s="140">
        <f>SUM(Delta!V64,Lodi!V64,'River Delta'!V64,Manteca!V64,Stockton!V64,Tracy!V64,SJCOE!V64,CCOE!V64,)</f>
        <v>0</v>
      </c>
      <c r="W63" s="21"/>
      <c r="X63" s="140">
        <f>SUM(Delta!X64,Lodi!X64,'River Delta'!X64,Manteca!X64,Stockton!X64,Tracy!X64,SJCOE!X64,CCOE!X64,)</f>
        <v>142746</v>
      </c>
      <c r="Y63" s="21"/>
      <c r="Z63" s="140">
        <f>SUM(Delta!Z64,Lodi!Z64,'River Delta'!Z64,Manteca!Z64,Stockton!Z64,Tracy!Z64,SJCOE!Z64,CCOE!Z64,)</f>
        <v>0</v>
      </c>
      <c r="AA63" s="54"/>
      <c r="AB63" s="137">
        <f>SUM(F63:Z63)</f>
        <v>1684842.5390300001</v>
      </c>
      <c r="AC63" s="56"/>
      <c r="AD63" s="57"/>
      <c r="AF63" s="10"/>
      <c r="AH63" s="10"/>
      <c r="AI63" s="10"/>
      <c r="AJ63" s="10"/>
      <c r="AK63" s="10"/>
    </row>
    <row r="64" spans="1:37" s="16" customFormat="1" ht="5" customHeight="1" x14ac:dyDescent="0.65">
      <c r="A64" s="9"/>
      <c r="B64" s="49"/>
      <c r="C64" s="50"/>
      <c r="D64" s="14"/>
      <c r="E64" s="15"/>
      <c r="F64" s="141"/>
      <c r="G64" s="142"/>
      <c r="H64" s="141"/>
      <c r="I64" s="143"/>
      <c r="J64" s="141"/>
      <c r="K64" s="141"/>
      <c r="L64" s="141"/>
      <c r="M64" s="143"/>
      <c r="N64" s="141"/>
      <c r="O64" s="141"/>
      <c r="P64" s="141"/>
      <c r="Q64" s="142"/>
      <c r="R64" s="141"/>
      <c r="S64" s="144"/>
      <c r="T64" s="141"/>
      <c r="U64" s="144"/>
      <c r="V64" s="141"/>
      <c r="W64" s="144"/>
      <c r="X64" s="141"/>
      <c r="Y64" s="144"/>
      <c r="Z64" s="141"/>
      <c r="AA64" s="62"/>
      <c r="AB64" s="11"/>
      <c r="AC64" s="18"/>
      <c r="AD64" s="15"/>
    </row>
    <row r="65" spans="1:37" s="11" customFormat="1" ht="17" customHeight="1" x14ac:dyDescent="0.65">
      <c r="A65" s="9"/>
      <c r="B65" s="51"/>
      <c r="C65" s="156" t="s">
        <v>118</v>
      </c>
      <c r="D65" s="157" t="s">
        <v>87</v>
      </c>
      <c r="E65" s="21"/>
      <c r="F65" s="140">
        <f>SUM(Delta!F66,Lodi!F66,'River Delta'!F66,Manteca!F66,Stockton!F66,Tracy!F66,SJCOE!F66,CCOE!F66,)</f>
        <v>0</v>
      </c>
      <c r="G65" s="21"/>
      <c r="H65" s="140">
        <f>SUM(Delta!H66,Lodi!H66,'River Delta'!H66,Manteca!H66,Stockton!H66,Tracy!H66,SJCOE!H66,CCOE!H66,)</f>
        <v>50142.899999999994</v>
      </c>
      <c r="I65" s="21"/>
      <c r="J65" s="158">
        <f>SUM(Delta!J66,Lodi!J66,'River Delta'!J66,Manteca!J66,Stockton!J66,Tracy!J66,SJCOE!J66,CCOE!J66,)</f>
        <v>0</v>
      </c>
      <c r="K65" s="159"/>
      <c r="L65" s="160"/>
      <c r="M65" s="21"/>
      <c r="N65" s="158">
        <f>SUM(Delta!N66,Lodi!N66,'River Delta'!N66,Manteca!N66,Stockton!N66,Tracy!N66,SJCOE!N66,CCOE!N66,)</f>
        <v>0</v>
      </c>
      <c r="O65" s="159"/>
      <c r="P65" s="160"/>
      <c r="Q65" s="21"/>
      <c r="R65" s="140">
        <f>SUM(Delta!R66,Lodi!R66,'River Delta'!R66,Manteca!R66,Stockton!R66,Tracy!R66,SJCOE!R66,CCOE!R66,)</f>
        <v>0</v>
      </c>
      <c r="S65" s="21"/>
      <c r="T65" s="140">
        <f>SUM(Delta!T66,Lodi!T66,'River Delta'!T66,Manteca!T66,Stockton!T66,Tracy!T66,SJCOE!T66,CCOE!T66,)</f>
        <v>0</v>
      </c>
      <c r="U65" s="21"/>
      <c r="V65" s="140">
        <f>SUM(Delta!V66,Lodi!V66,'River Delta'!V66,Manteca!V66,Stockton!V66,Tracy!V66,SJCOE!V66,CCOE!V66,)</f>
        <v>0</v>
      </c>
      <c r="W65" s="21"/>
      <c r="X65" s="140">
        <f>SUM(Delta!X66,Lodi!X66,'River Delta'!X66,Manteca!X66,Stockton!X66,Tracy!X66,SJCOE!X66,CCOE!X66,)</f>
        <v>0</v>
      </c>
      <c r="Y65" s="21"/>
      <c r="Z65" s="140">
        <f>SUM(Delta!Z66,Lodi!Z66,'River Delta'!Z66,Manteca!Z66,Stockton!Z66,Tracy!Z66,SJCOE!Z66,CCOE!Z66)</f>
        <v>0</v>
      </c>
      <c r="AA65" s="54"/>
      <c r="AB65" s="137">
        <f>SUM(F65:Z65)</f>
        <v>50142.899999999994</v>
      </c>
      <c r="AC65" s="56"/>
      <c r="AD65" s="57"/>
    </row>
    <row r="66" spans="1:37" ht="5" customHeight="1" thickBot="1" x14ac:dyDescent="0.8">
      <c r="A66" s="13"/>
      <c r="B66" s="49"/>
      <c r="C66" s="149"/>
      <c r="D66" s="149"/>
      <c r="E66" s="14"/>
      <c r="F66" s="63"/>
      <c r="G66" s="10"/>
      <c r="H66" s="63"/>
      <c r="I66" s="10"/>
      <c r="J66" s="150"/>
      <c r="K66" s="150"/>
      <c r="L66" s="150"/>
      <c r="M66" s="10"/>
      <c r="N66" s="150"/>
      <c r="O66" s="150"/>
      <c r="P66" s="150"/>
      <c r="Q66" s="15"/>
      <c r="R66" s="65"/>
      <c r="T66" s="66"/>
      <c r="V66" s="66"/>
      <c r="X66" s="66"/>
      <c r="Z66" s="66"/>
      <c r="AB66" s="66"/>
      <c r="AC66" s="42"/>
      <c r="AF66" s="10"/>
      <c r="AH66" s="10"/>
      <c r="AI66" s="10"/>
      <c r="AJ66" s="10"/>
      <c r="AK66" s="10"/>
    </row>
    <row r="67" spans="1:37" s="62" customFormat="1" ht="17" customHeight="1" x14ac:dyDescent="0.65">
      <c r="A67" s="124"/>
      <c r="B67" s="125"/>
      <c r="C67" s="151" t="s">
        <v>0</v>
      </c>
      <c r="D67" s="152"/>
      <c r="E67" s="57"/>
      <c r="F67" s="138">
        <f>SUM(F57:F65)</f>
        <v>4520167.2496000007</v>
      </c>
      <c r="G67" s="21"/>
      <c r="H67" s="139">
        <f>SUM(H57:H65)</f>
        <v>3017575.4</v>
      </c>
      <c r="I67" s="57"/>
      <c r="J67" s="153">
        <f>SUM(J57:L65)</f>
        <v>1279220</v>
      </c>
      <c r="K67" s="154"/>
      <c r="L67" s="155"/>
      <c r="M67" s="57"/>
      <c r="N67" s="153">
        <f>SUM(N57:P65)</f>
        <v>836297</v>
      </c>
      <c r="O67" s="154"/>
      <c r="P67" s="155"/>
      <c r="Q67" s="57"/>
      <c r="R67" s="138">
        <f>SUM(R57:R65)</f>
        <v>793575</v>
      </c>
      <c r="S67" s="57"/>
      <c r="T67" s="138">
        <f>SUM(T57:T65)</f>
        <v>0</v>
      </c>
      <c r="U67" s="57"/>
      <c r="V67" s="139">
        <f>SUM(V57:V65)</f>
        <v>0</v>
      </c>
      <c r="W67" s="57"/>
      <c r="X67" s="139">
        <f>SUM(X57:X65)</f>
        <v>4758186</v>
      </c>
      <c r="Y67" s="57"/>
      <c r="Z67" s="139">
        <f>SUM(Z57:Z65)</f>
        <v>242031</v>
      </c>
      <c r="AA67" s="57"/>
      <c r="AB67" s="139">
        <f>SUM(AB57:AB65)</f>
        <v>15447051.649600001</v>
      </c>
      <c r="AC67" s="56"/>
      <c r="AD67" s="126"/>
    </row>
    <row r="68" spans="1:37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3"/>
    </row>
    <row r="69" spans="1:37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  <c r="AB69" s="10"/>
    </row>
    <row r="70" spans="1:37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  <c r="AB72" s="10"/>
    </row>
    <row r="73" spans="1:37" ht="23" customHeight="1" x14ac:dyDescent="0.65">
      <c r="AF73" s="10"/>
      <c r="AH73" s="10"/>
      <c r="AI73" s="10"/>
      <c r="AJ73" s="10"/>
      <c r="AK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C78" s="10"/>
      <c r="AD78" s="10"/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</sheetData>
  <mergeCells count="72">
    <mergeCell ref="J27:L27"/>
    <mergeCell ref="N27:P27"/>
    <mergeCell ref="J29:L29"/>
    <mergeCell ref="J23:L23"/>
    <mergeCell ref="N23:P23"/>
    <mergeCell ref="J25:L25"/>
    <mergeCell ref="N25:P25"/>
    <mergeCell ref="N29:P29"/>
    <mergeCell ref="D2:AB3"/>
    <mergeCell ref="B6:C6"/>
    <mergeCell ref="D11:O11"/>
    <mergeCell ref="B7:O9"/>
    <mergeCell ref="V15:V17"/>
    <mergeCell ref="X15:X17"/>
    <mergeCell ref="Z15:Z17"/>
    <mergeCell ref="AB15:AB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X52:X54"/>
    <mergeCell ref="C46:D46"/>
    <mergeCell ref="C47:D47"/>
    <mergeCell ref="R47:T47"/>
    <mergeCell ref="F39:F41"/>
    <mergeCell ref="H39:J39"/>
    <mergeCell ref="L39:N39"/>
    <mergeCell ref="R39:T41"/>
    <mergeCell ref="Z52:Z54"/>
    <mergeCell ref="AB52:AB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D198"/>
  <sheetViews>
    <sheetView topLeftCell="A20" zoomScale="86" zoomScaleNormal="93" zoomScalePageLayoutView="93" workbookViewId="0">
      <selection activeCell="R70" sqref="R70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8" t="s">
        <v>105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</row>
    <row r="3" spans="1:37" ht="37" customHeight="1" x14ac:dyDescent="0.65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3" t="str">
        <f>Summary!D11:O11</f>
        <v>San Joaquin Delta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0" t="s">
        <v>124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4"/>
      <c r="D17" s="164"/>
      <c r="F17" s="165" t="s">
        <v>81</v>
      </c>
      <c r="G17" s="166"/>
      <c r="H17" s="167"/>
      <c r="I17" s="41"/>
      <c r="J17" s="168" t="s">
        <v>82</v>
      </c>
      <c r="K17" s="169"/>
      <c r="L17" s="170"/>
      <c r="M17" s="41"/>
      <c r="N17" s="168" t="s">
        <v>2</v>
      </c>
      <c r="O17" s="169"/>
      <c r="P17" s="170"/>
      <c r="Q17" s="41"/>
      <c r="R17" s="161" t="s">
        <v>3</v>
      </c>
      <c r="S17" s="41"/>
      <c r="T17" s="161" t="s">
        <v>6</v>
      </c>
      <c r="U17" s="41"/>
      <c r="V17" s="161" t="s">
        <v>90</v>
      </c>
      <c r="W17" s="41"/>
      <c r="X17" s="161" t="s">
        <v>4</v>
      </c>
      <c r="Y17" s="41"/>
      <c r="Z17" s="161" t="s">
        <v>7</v>
      </c>
      <c r="AA17" s="41"/>
      <c r="AB17" s="161" t="s">
        <v>0</v>
      </c>
      <c r="AC17" s="42"/>
    </row>
    <row r="18" spans="1:37" ht="5" customHeight="1" x14ac:dyDescent="0.6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B18" s="162"/>
      <c r="AC18" s="42"/>
    </row>
    <row r="19" spans="1:37" s="45" customFormat="1" ht="29" customHeight="1" thickBot="1" x14ac:dyDescent="0.75">
      <c r="B19" s="46"/>
      <c r="C19" s="164"/>
      <c r="D19" s="164"/>
      <c r="E19" s="41"/>
      <c r="F19" s="47" t="s">
        <v>1</v>
      </c>
      <c r="G19" s="41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B19" s="163"/>
      <c r="AC19" s="48"/>
      <c r="AD19" s="41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>
        <v>0</v>
      </c>
      <c r="G21" s="127"/>
      <c r="H21" s="3">
        <f>(100000*0.8718)+(422252*0.95)</f>
        <v>488319.39999999997</v>
      </c>
      <c r="I21" s="127"/>
      <c r="J21" s="194">
        <v>0</v>
      </c>
      <c r="K21" s="195"/>
      <c r="L21" s="196"/>
      <c r="M21" s="127"/>
      <c r="N21" s="194">
        <v>80915.600000000006</v>
      </c>
      <c r="O21" s="195"/>
      <c r="P21" s="196"/>
      <c r="Q21" s="127"/>
      <c r="R21" s="3">
        <v>511411</v>
      </c>
      <c r="S21" s="127"/>
      <c r="T21" s="3">
        <v>0</v>
      </c>
      <c r="U21" s="127"/>
      <c r="V21" s="3">
        <v>0</v>
      </c>
      <c r="W21" s="127"/>
      <c r="X21" s="3">
        <v>4148060</v>
      </c>
      <c r="Y21" s="127"/>
      <c r="Z21" s="3"/>
      <c r="AA21" s="54"/>
      <c r="AB21" s="55">
        <f>SUM(F21:Z21)</f>
        <v>5228706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>
        <v>0</v>
      </c>
      <c r="G23" s="127"/>
      <c r="H23" s="3">
        <f>(100000*0.1133)+(422252*0.95)</f>
        <v>412469.39999999997</v>
      </c>
      <c r="I23" s="127"/>
      <c r="J23" s="194">
        <v>0</v>
      </c>
      <c r="K23" s="195"/>
      <c r="L23" s="196"/>
      <c r="M23" s="127"/>
      <c r="N23" s="194">
        <v>40457.599999999999</v>
      </c>
      <c r="O23" s="195"/>
      <c r="P23" s="196"/>
      <c r="Q23" s="127"/>
      <c r="R23" s="3">
        <v>66484</v>
      </c>
      <c r="S23" s="127"/>
      <c r="T23" s="3">
        <v>0</v>
      </c>
      <c r="U23" s="127"/>
      <c r="V23" s="3">
        <v>0</v>
      </c>
      <c r="W23" s="127"/>
      <c r="X23" s="3">
        <v>539250</v>
      </c>
      <c r="Y23" s="127"/>
      <c r="Z23" s="3"/>
      <c r="AA23" s="54"/>
      <c r="AB23" s="55">
        <f>SUM(F23:Z23)</f>
        <v>1058661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0</v>
      </c>
      <c r="I25" s="127"/>
      <c r="J25" s="194">
        <v>0</v>
      </c>
      <c r="K25" s="195"/>
      <c r="L25" s="196"/>
      <c r="M25" s="127"/>
      <c r="N25" s="194">
        <v>0</v>
      </c>
      <c r="O25" s="195"/>
      <c r="P25" s="196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4">
        <v>0</v>
      </c>
      <c r="K27" s="195"/>
      <c r="L27" s="196"/>
      <c r="M27" s="127"/>
      <c r="N27" s="194">
        <v>0</v>
      </c>
      <c r="O27" s="195"/>
      <c r="P27" s="196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f>(100000*0.0044)+(184735*0.95)</f>
        <v>175938.25</v>
      </c>
      <c r="I29" s="127"/>
      <c r="J29" s="194">
        <v>0</v>
      </c>
      <c r="K29" s="195"/>
      <c r="L29" s="196"/>
      <c r="M29" s="127"/>
      <c r="N29" s="194">
        <v>0</v>
      </c>
      <c r="O29" s="195"/>
      <c r="P29" s="196"/>
      <c r="Q29" s="127"/>
      <c r="R29" s="3">
        <v>2584</v>
      </c>
      <c r="S29" s="127"/>
      <c r="T29" s="3">
        <v>0</v>
      </c>
      <c r="U29" s="127"/>
      <c r="V29" s="3">
        <v>0</v>
      </c>
      <c r="W29" s="127"/>
      <c r="X29" s="3">
        <v>20961</v>
      </c>
      <c r="Y29" s="127"/>
      <c r="Z29" s="3"/>
      <c r="AA29" s="54"/>
      <c r="AB29" s="55">
        <f>SUM(F29:Z29)</f>
        <v>199483.25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f>(100000*0.0105)+(26391*0.95)</f>
        <v>26121.449999999997</v>
      </c>
      <c r="I31" s="127"/>
      <c r="J31" s="194">
        <v>0</v>
      </c>
      <c r="K31" s="195"/>
      <c r="L31" s="196"/>
      <c r="M31" s="127"/>
      <c r="N31" s="194">
        <v>687783</v>
      </c>
      <c r="O31" s="195"/>
      <c r="P31" s="196"/>
      <c r="Q31" s="127"/>
      <c r="R31" s="3">
        <v>6154</v>
      </c>
      <c r="S31" s="127"/>
      <c r="T31" s="3">
        <v>0</v>
      </c>
      <c r="U31" s="127"/>
      <c r="V31" s="3">
        <v>0</v>
      </c>
      <c r="W31" s="127"/>
      <c r="X31" s="3">
        <v>49914</v>
      </c>
      <c r="Y31" s="127"/>
      <c r="Z31" s="3"/>
      <c r="AA31" s="54"/>
      <c r="AB31" s="55">
        <f>SUM(F31:Z31)</f>
        <v>769972.45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4">
        <v>0</v>
      </c>
      <c r="K33" s="195"/>
      <c r="L33" s="196"/>
      <c r="M33" s="127"/>
      <c r="N33" s="194">
        <v>0</v>
      </c>
      <c r="O33" s="195"/>
      <c r="P33" s="196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9"/>
      <c r="D34" s="149"/>
      <c r="E34" s="14"/>
      <c r="F34" s="63"/>
      <c r="G34" s="10"/>
      <c r="H34" s="63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1" t="s">
        <v>0</v>
      </c>
      <c r="D35" s="152"/>
      <c r="E35" s="57"/>
      <c r="F35" s="67">
        <f>SUM(F21:F33)</f>
        <v>0</v>
      </c>
      <c r="G35" s="21"/>
      <c r="H35" s="68">
        <f>SUM(H21:H33)</f>
        <v>1102848.4999999998</v>
      </c>
      <c r="I35" s="57"/>
      <c r="J35" s="197">
        <f>SUM(J21:L33)</f>
        <v>0</v>
      </c>
      <c r="K35" s="198"/>
      <c r="L35" s="199"/>
      <c r="M35" s="57"/>
      <c r="N35" s="197">
        <f>SUM(N21:P33)</f>
        <v>809156.2</v>
      </c>
      <c r="O35" s="198"/>
      <c r="P35" s="199"/>
      <c r="Q35" s="57"/>
      <c r="R35" s="67">
        <f>SUM(R21:R33)</f>
        <v>586633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4758185</v>
      </c>
      <c r="Y35" s="57"/>
      <c r="Z35" s="68">
        <f>SUM(Z21:Z33)</f>
        <v>0</v>
      </c>
      <c r="AA35" s="57"/>
      <c r="AB35" s="68">
        <f>SUM(AB21:AB33)</f>
        <v>7256822.7000000002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1"/>
      <c r="F40" s="161" t="s">
        <v>104</v>
      </c>
      <c r="G40" s="41"/>
      <c r="H40" s="181" t="s">
        <v>103</v>
      </c>
      <c r="I40" s="182"/>
      <c r="J40" s="183"/>
      <c r="K40" s="41"/>
      <c r="L40" s="181" t="s">
        <v>106</v>
      </c>
      <c r="M40" s="182"/>
      <c r="N40" s="183"/>
      <c r="O40" s="42"/>
      <c r="R40" s="184"/>
      <c r="S40" s="184"/>
      <c r="T40" s="184"/>
      <c r="V40" s="28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28"/>
    </row>
    <row r="42" spans="1:37" ht="13.75" thickBot="1" x14ac:dyDescent="0.75">
      <c r="A42" s="11"/>
      <c r="B42" s="40"/>
      <c r="C42" s="80"/>
      <c r="D42" s="81"/>
      <c r="E42" s="41"/>
      <c r="F42" s="163"/>
      <c r="G42" s="41"/>
      <c r="H42" s="47" t="s">
        <v>102</v>
      </c>
      <c r="I42" s="41"/>
      <c r="J42" s="47" t="s">
        <v>101</v>
      </c>
      <c r="K42" s="41"/>
      <c r="L42" s="47" t="s">
        <v>102</v>
      </c>
      <c r="M42" s="41"/>
      <c r="N42" s="47" t="s">
        <v>101</v>
      </c>
      <c r="O42" s="42"/>
      <c r="Q42" s="10"/>
      <c r="R42" s="184"/>
      <c r="S42" s="184"/>
      <c r="T42" s="184"/>
      <c r="U42" s="41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28"/>
    </row>
    <row r="44" spans="1:37" s="89" customFormat="1" ht="16" customHeight="1" x14ac:dyDescent="0.6">
      <c r="A44" s="84"/>
      <c r="B44" s="85"/>
      <c r="C44" s="52" t="s">
        <v>112</v>
      </c>
      <c r="D44" s="53"/>
      <c r="E44" s="83"/>
      <c r="F44" s="3">
        <v>0</v>
      </c>
      <c r="G44" s="127"/>
      <c r="H44" s="3">
        <v>0</v>
      </c>
      <c r="I44" s="86"/>
      <c r="J44" s="87" t="str">
        <f>IFERROR(H44/F44,"")</f>
        <v/>
      </c>
      <c r="K44" s="86"/>
      <c r="L44" s="3">
        <f>0.05*3171131</f>
        <v>158556.55000000002</v>
      </c>
      <c r="M44" s="88"/>
      <c r="N44" s="87">
        <v>0.05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52" t="s">
        <v>111</v>
      </c>
      <c r="D46" s="53"/>
      <c r="E46" s="83"/>
      <c r="F46" s="3">
        <v>1155631</v>
      </c>
      <c r="G46" s="127"/>
      <c r="H46" s="3">
        <v>0</v>
      </c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9"/>
      <c r="D47" s="149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1" t="s">
        <v>0</v>
      </c>
      <c r="D48" s="152"/>
      <c r="E48" s="83"/>
      <c r="F48" s="67">
        <f>SUM(F44:F46)</f>
        <v>1155631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158556.55000000002</v>
      </c>
      <c r="M48" s="83"/>
      <c r="N48" s="87">
        <f>N44</f>
        <v>0.05</v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28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28"/>
      <c r="U50" s="28"/>
      <c r="V50" s="28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4"/>
      <c r="D53" s="164"/>
      <c r="F53" s="165" t="s">
        <v>81</v>
      </c>
      <c r="G53" s="166"/>
      <c r="H53" s="167"/>
      <c r="I53" s="41"/>
      <c r="J53" s="168" t="s">
        <v>82</v>
      </c>
      <c r="K53" s="169"/>
      <c r="L53" s="170"/>
      <c r="M53" s="41"/>
      <c r="N53" s="168" t="s">
        <v>2</v>
      </c>
      <c r="O53" s="169"/>
      <c r="P53" s="170"/>
      <c r="Q53" s="41"/>
      <c r="R53" s="161" t="s">
        <v>3</v>
      </c>
      <c r="S53" s="41"/>
      <c r="T53" s="161" t="s">
        <v>6</v>
      </c>
      <c r="U53" s="41"/>
      <c r="V53" s="161" t="s">
        <v>90</v>
      </c>
      <c r="W53" s="41"/>
      <c r="X53" s="161" t="s">
        <v>4</v>
      </c>
      <c r="Y53" s="41"/>
      <c r="Z53" s="161" t="s">
        <v>7</v>
      </c>
      <c r="AA53" s="41"/>
      <c r="AB53" s="161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B54" s="162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4"/>
      <c r="D55" s="164"/>
      <c r="E55" s="41"/>
      <c r="F55" s="47" t="s">
        <v>1</v>
      </c>
      <c r="G55" s="41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B55" s="163"/>
      <c r="AC55" s="48"/>
      <c r="AD55" s="41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6" t="s">
        <v>96</v>
      </c>
      <c r="D58" s="157" t="s">
        <v>83</v>
      </c>
      <c r="E58" s="21"/>
      <c r="F58" s="3">
        <v>0</v>
      </c>
      <c r="G58" s="127"/>
      <c r="H58" s="3">
        <f>50000+(844505*0.95)</f>
        <v>852279.75</v>
      </c>
      <c r="I58" s="127"/>
      <c r="J58" s="194"/>
      <c r="K58" s="195"/>
      <c r="L58" s="196"/>
      <c r="M58" s="127"/>
      <c r="N58" s="194">
        <v>202289</v>
      </c>
      <c r="O58" s="195"/>
      <c r="P58" s="196"/>
      <c r="Q58" s="127"/>
      <c r="R58" s="3">
        <v>146658</v>
      </c>
      <c r="S58" s="127"/>
      <c r="T58" s="3"/>
      <c r="U58" s="127"/>
      <c r="V58" s="3"/>
      <c r="W58" s="127"/>
      <c r="X58" s="3">
        <v>142746</v>
      </c>
      <c r="Y58" s="127"/>
      <c r="Z58" s="3"/>
      <c r="AA58" s="54"/>
      <c r="AB58" s="55">
        <f>SUM(F58:Z58)</f>
        <v>1343972.75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6" t="s">
        <v>97</v>
      </c>
      <c r="D60" s="157" t="s">
        <v>84</v>
      </c>
      <c r="E60" s="21"/>
      <c r="F60" s="3">
        <v>0</v>
      </c>
      <c r="G60" s="127"/>
      <c r="H60" s="3">
        <v>0</v>
      </c>
      <c r="I60" s="127"/>
      <c r="J60" s="194"/>
      <c r="K60" s="195"/>
      <c r="L60" s="196"/>
      <c r="M60" s="127"/>
      <c r="N60" s="194"/>
      <c r="O60" s="195"/>
      <c r="P60" s="196"/>
      <c r="Q60" s="127"/>
      <c r="R60" s="3"/>
      <c r="S60" s="127"/>
      <c r="T60" s="3"/>
      <c r="U60" s="127"/>
      <c r="V60" s="3"/>
      <c r="W60" s="127"/>
      <c r="X60" s="3">
        <v>4377530</v>
      </c>
      <c r="Y60" s="127"/>
      <c r="Z60" s="3"/>
      <c r="AA60" s="54"/>
      <c r="AB60" s="55">
        <f>SUM(F60:Z60)</f>
        <v>4377530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6" t="s">
        <v>98</v>
      </c>
      <c r="D62" s="157" t="s">
        <v>85</v>
      </c>
      <c r="E62" s="21"/>
      <c r="F62" s="3">
        <v>0</v>
      </c>
      <c r="G62" s="127"/>
      <c r="H62" s="3">
        <f>25000+(105563*0.95)</f>
        <v>125284.84999999999</v>
      </c>
      <c r="I62" s="127"/>
      <c r="J62" s="194"/>
      <c r="K62" s="195"/>
      <c r="L62" s="196"/>
      <c r="M62" s="127"/>
      <c r="N62" s="194">
        <v>202289</v>
      </c>
      <c r="O62" s="195"/>
      <c r="P62" s="196"/>
      <c r="Q62" s="127"/>
      <c r="R62" s="3">
        <v>146658</v>
      </c>
      <c r="S62" s="127"/>
      <c r="T62" s="3"/>
      <c r="U62" s="127"/>
      <c r="V62" s="3"/>
      <c r="W62" s="127"/>
      <c r="X62" s="3">
        <v>95164</v>
      </c>
      <c r="Y62" s="127"/>
      <c r="Z62" s="3"/>
      <c r="AA62" s="54"/>
      <c r="AB62" s="55">
        <f>SUM(F62:Z62)</f>
        <v>569395.85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6" t="s">
        <v>99</v>
      </c>
      <c r="D64" s="157" t="s">
        <v>86</v>
      </c>
      <c r="E64" s="21"/>
      <c r="F64" s="3">
        <v>0</v>
      </c>
      <c r="G64" s="127"/>
      <c r="H64" s="3">
        <f>25000+(52782*0.95)</f>
        <v>75142.899999999994</v>
      </c>
      <c r="I64" s="127"/>
      <c r="J64" s="194"/>
      <c r="K64" s="195"/>
      <c r="L64" s="196"/>
      <c r="M64" s="127"/>
      <c r="N64" s="194">
        <v>404578</v>
      </c>
      <c r="O64" s="195"/>
      <c r="P64" s="196"/>
      <c r="Q64" s="127"/>
      <c r="R64" s="3">
        <v>293317</v>
      </c>
      <c r="S64" s="127"/>
      <c r="T64" s="3"/>
      <c r="U64" s="127"/>
      <c r="V64" s="3"/>
      <c r="W64" s="127"/>
      <c r="X64" s="3">
        <v>142746</v>
      </c>
      <c r="Y64" s="127"/>
      <c r="Z64" s="3"/>
      <c r="AA64" s="54"/>
      <c r="AB64" s="55">
        <f>SUM(F64:Z64)</f>
        <v>915783.9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6" t="s">
        <v>100</v>
      </c>
      <c r="D66" s="157" t="s">
        <v>87</v>
      </c>
      <c r="E66" s="21"/>
      <c r="F66" s="3">
        <v>0</v>
      </c>
      <c r="G66" s="127"/>
      <c r="H66" s="3">
        <f>52782*0.95</f>
        <v>50142.899999999994</v>
      </c>
      <c r="I66" s="127"/>
      <c r="J66" s="194"/>
      <c r="K66" s="195"/>
      <c r="L66" s="196"/>
      <c r="M66" s="127"/>
      <c r="N66" s="194"/>
      <c r="O66" s="195"/>
      <c r="P66" s="196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50142.899999999994</v>
      </c>
      <c r="AC66" s="56"/>
      <c r="AD66" s="57"/>
    </row>
    <row r="67" spans="1:37" ht="5" customHeight="1" thickBot="1" x14ac:dyDescent="0.8">
      <c r="A67" s="13"/>
      <c r="B67" s="49"/>
      <c r="C67" s="149"/>
      <c r="D67" s="149"/>
      <c r="E67" s="14"/>
      <c r="F67" s="63"/>
      <c r="G67" s="10"/>
      <c r="H67" s="63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1" t="s">
        <v>0</v>
      </c>
      <c r="D68" s="152"/>
      <c r="E68" s="57"/>
      <c r="F68" s="67">
        <f>SUM(F58:F66)</f>
        <v>0</v>
      </c>
      <c r="G68" s="21"/>
      <c r="H68" s="68">
        <f>SUM(H58:H66)</f>
        <v>1102850.3999999999</v>
      </c>
      <c r="I68" s="57"/>
      <c r="J68" s="197">
        <f>SUM(J58:L66)</f>
        <v>0</v>
      </c>
      <c r="K68" s="198"/>
      <c r="L68" s="199"/>
      <c r="M68" s="57"/>
      <c r="N68" s="197">
        <f>SUM(N58:P66)</f>
        <v>809156</v>
      </c>
      <c r="O68" s="198"/>
      <c r="P68" s="199"/>
      <c r="Q68" s="57"/>
      <c r="R68" s="67">
        <f>SUM(R58:R66)</f>
        <v>586633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4758186</v>
      </c>
      <c r="Y68" s="57"/>
      <c r="Z68" s="68">
        <f>SUM(Z58:Z66)</f>
        <v>0</v>
      </c>
      <c r="AA68" s="57"/>
      <c r="AB68" s="68">
        <f>SUM(AB58:AB66)</f>
        <v>7256825.4000000004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mergeCells count="72">
    <mergeCell ref="C53:D55"/>
    <mergeCell ref="D2:AB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AB53:AB55"/>
    <mergeCell ref="R53:R55"/>
    <mergeCell ref="T53:T55"/>
    <mergeCell ref="AB17:AB19"/>
    <mergeCell ref="J21:L21"/>
    <mergeCell ref="J23:L23"/>
    <mergeCell ref="J25:L25"/>
    <mergeCell ref="J17:L19"/>
    <mergeCell ref="N17:P19"/>
    <mergeCell ref="N25:P25"/>
    <mergeCell ref="X53:X55"/>
    <mergeCell ref="Z53:Z55"/>
    <mergeCell ref="R17:R19"/>
    <mergeCell ref="R48:T48"/>
    <mergeCell ref="R40:T42"/>
    <mergeCell ref="V53:V55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B6:C6"/>
    <mergeCell ref="Z17:Z19"/>
    <mergeCell ref="C17:D19"/>
    <mergeCell ref="T17:T19"/>
    <mergeCell ref="V17:V19"/>
    <mergeCell ref="X17:X19"/>
    <mergeCell ref="D13:O13"/>
    <mergeCell ref="D11:O11"/>
    <mergeCell ref="F17:H17"/>
    <mergeCell ref="C64:D64"/>
    <mergeCell ref="C66:D66"/>
    <mergeCell ref="C58:D58"/>
    <mergeCell ref="C60:D60"/>
    <mergeCell ref="C62:D62"/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</mergeCells>
  <phoneticPr fontId="41" type="noConversion"/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4294967292" verticalDpi="4294967292"/>
  <ignoredErrors>
    <ignoredError sqref="D1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4" zoomScale="86" zoomScaleNormal="93" zoomScalePageLayoutView="93" workbookViewId="0">
      <selection activeCell="F66" sqref="F6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8" t="s">
        <v>105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</row>
    <row r="3" spans="1:37" ht="37" customHeight="1" x14ac:dyDescent="0.65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3" t="str">
        <f>Summary!D11:O11</f>
        <v>San Joaquin Delta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0" t="s">
        <v>119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90</v>
      </c>
      <c r="W17" s="44"/>
      <c r="X17" s="161" t="s">
        <v>4</v>
      </c>
      <c r="Y17" s="44"/>
      <c r="Z17" s="161" t="s">
        <v>7</v>
      </c>
      <c r="AA17" s="44"/>
      <c r="AB17" s="161" t="s">
        <v>0</v>
      </c>
      <c r="AC17" s="42"/>
    </row>
    <row r="18" spans="1:37" ht="5" customHeight="1" x14ac:dyDescent="0.6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B18" s="162"/>
      <c r="AC18" s="42"/>
    </row>
    <row r="19" spans="1:37" s="45" customFormat="1" ht="29" customHeight="1" thickBot="1" x14ac:dyDescent="0.7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B19" s="163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>
        <f>451572*0.948</f>
        <v>428090.25599999999</v>
      </c>
      <c r="G21" s="127"/>
      <c r="H21" s="3">
        <f>76687*0.95</f>
        <v>72852.649999999994</v>
      </c>
      <c r="I21" s="127"/>
      <c r="J21" s="194"/>
      <c r="K21" s="195"/>
      <c r="L21" s="196"/>
      <c r="M21" s="127"/>
      <c r="N21" s="194"/>
      <c r="O21" s="195"/>
      <c r="P21" s="196"/>
      <c r="Q21" s="127"/>
      <c r="R21" s="3">
        <v>1510</v>
      </c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502452.90599999996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>
        <f>307753*0.948</f>
        <v>291749.84399999998</v>
      </c>
      <c r="G23" s="127"/>
      <c r="H23" s="3">
        <f>153945*0.95</f>
        <v>146247.75</v>
      </c>
      <c r="I23" s="127"/>
      <c r="J23" s="194"/>
      <c r="K23" s="195"/>
      <c r="L23" s="196"/>
      <c r="M23" s="127"/>
      <c r="N23" s="194"/>
      <c r="O23" s="195"/>
      <c r="P23" s="196"/>
      <c r="Q23" s="127"/>
      <c r="R23" s="3">
        <v>2805</v>
      </c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440802.59399999998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0</v>
      </c>
      <c r="I25" s="127"/>
      <c r="J25" s="194"/>
      <c r="K25" s="195"/>
      <c r="L25" s="196"/>
      <c r="M25" s="127"/>
      <c r="N25" s="194"/>
      <c r="O25" s="195"/>
      <c r="P25" s="196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4"/>
      <c r="K27" s="195"/>
      <c r="L27" s="196"/>
      <c r="M27" s="127"/>
      <c r="N27" s="194"/>
      <c r="O27" s="195"/>
      <c r="P27" s="196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>
        <f>26149*0.948</f>
        <v>24789.252</v>
      </c>
      <c r="G29" s="127"/>
      <c r="H29" s="3">
        <f>71550*0.95</f>
        <v>67972.5</v>
      </c>
      <c r="I29" s="127"/>
      <c r="J29" s="194"/>
      <c r="K29" s="195"/>
      <c r="L29" s="196"/>
      <c r="M29" s="127"/>
      <c r="N29" s="194"/>
      <c r="O29" s="195"/>
      <c r="P29" s="196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92761.752000000008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>
        <f>283616*0.948</f>
        <v>268867.96799999999</v>
      </c>
      <c r="G31" s="127"/>
      <c r="H31" s="3">
        <f>38818*0.95</f>
        <v>36877.1</v>
      </c>
      <c r="I31" s="127"/>
      <c r="J31" s="194"/>
      <c r="K31" s="195"/>
      <c r="L31" s="196"/>
      <c r="M31" s="127"/>
      <c r="N31" s="194"/>
      <c r="O31" s="195"/>
      <c r="P31" s="196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305745.06799999997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4"/>
      <c r="K33" s="195"/>
      <c r="L33" s="196"/>
      <c r="M33" s="127"/>
      <c r="N33" s="194"/>
      <c r="O33" s="195"/>
      <c r="P33" s="196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1" t="s">
        <v>0</v>
      </c>
      <c r="D35" s="152"/>
      <c r="E35" s="57"/>
      <c r="F35" s="67">
        <f>SUM(F21:F33)</f>
        <v>1013497.32</v>
      </c>
      <c r="G35" s="21"/>
      <c r="H35" s="68">
        <f>SUM(H21:H33)</f>
        <v>323950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4315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1341762.3199999998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1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3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>
        <v>1069090</v>
      </c>
      <c r="G44" s="127"/>
      <c r="H44" s="3">
        <f>0.052*F44</f>
        <v>55592.68</v>
      </c>
      <c r="I44" s="86"/>
      <c r="J44" s="146">
        <v>5.1999999999999998E-2</v>
      </c>
      <c r="K44" s="86"/>
      <c r="L44" s="3">
        <v>0</v>
      </c>
      <c r="M44" s="88"/>
      <c r="N44" s="87">
        <v>0.05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341000</v>
      </c>
      <c r="G46" s="127"/>
      <c r="H46" s="3">
        <v>0</v>
      </c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9"/>
      <c r="D47" s="149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1" t="s">
        <v>0</v>
      </c>
      <c r="D48" s="152"/>
      <c r="E48" s="83"/>
      <c r="F48" s="67">
        <f>SUM(F44:F46)</f>
        <v>1410090</v>
      </c>
      <c r="G48" s="21"/>
      <c r="H48" s="67">
        <f>SUM(H44:H46)</f>
        <v>55592.68</v>
      </c>
      <c r="I48" s="83"/>
      <c r="J48" s="87">
        <f>IFERROR(H48/F48,"")</f>
        <v>3.9424916140104529E-2</v>
      </c>
      <c r="K48" s="86"/>
      <c r="L48" s="67">
        <f>SUM(L44:L46)</f>
        <v>0</v>
      </c>
      <c r="M48" s="83"/>
      <c r="N48" s="87">
        <f>N44</f>
        <v>0.05</v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90</v>
      </c>
      <c r="W53" s="44"/>
      <c r="X53" s="161" t="s">
        <v>4</v>
      </c>
      <c r="Y53" s="44"/>
      <c r="Z53" s="161" t="s">
        <v>7</v>
      </c>
      <c r="AA53" s="44"/>
      <c r="AB53" s="161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B54" s="162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B55" s="163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6" t="s">
        <v>96</v>
      </c>
      <c r="D58" s="157" t="s">
        <v>83</v>
      </c>
      <c r="E58" s="21"/>
      <c r="F58" s="3">
        <f>3579*0.948</f>
        <v>3392.8919999999998</v>
      </c>
      <c r="G58" s="127"/>
      <c r="H58" s="3">
        <f>1142*0.95</f>
        <v>1084.8999999999999</v>
      </c>
      <c r="I58" s="127"/>
      <c r="J58" s="194"/>
      <c r="K58" s="195"/>
      <c r="L58" s="196"/>
      <c r="M58" s="127"/>
      <c r="N58" s="194"/>
      <c r="O58" s="195"/>
      <c r="P58" s="196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4477.7919999999995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6" t="s">
        <v>97</v>
      </c>
      <c r="D60" s="157" t="s">
        <v>84</v>
      </c>
      <c r="E60" s="21"/>
      <c r="F60" s="3">
        <f>1047614*0.948</f>
        <v>993138.07199999993</v>
      </c>
      <c r="G60" s="127"/>
      <c r="H60" s="3">
        <f>334150*0.95</f>
        <v>317442.5</v>
      </c>
      <c r="I60" s="127"/>
      <c r="J60" s="194"/>
      <c r="K60" s="195"/>
      <c r="L60" s="196"/>
      <c r="M60" s="127"/>
      <c r="N60" s="194"/>
      <c r="O60" s="195"/>
      <c r="P60" s="196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1310580.5719999999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6" t="s">
        <v>98</v>
      </c>
      <c r="D62" s="157" t="s">
        <v>85</v>
      </c>
      <c r="E62" s="21"/>
      <c r="F62" s="3">
        <f>17897*0.948</f>
        <v>16966.356</v>
      </c>
      <c r="G62" s="127"/>
      <c r="H62" s="3">
        <f>5708*0.95</f>
        <v>5422.5999999999995</v>
      </c>
      <c r="I62" s="127"/>
      <c r="J62" s="194"/>
      <c r="K62" s="195"/>
      <c r="L62" s="196"/>
      <c r="M62" s="127"/>
      <c r="N62" s="194"/>
      <c r="O62" s="195"/>
      <c r="P62" s="196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22388.955999999998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6" t="s">
        <v>99</v>
      </c>
      <c r="D64" s="157" t="s">
        <v>86</v>
      </c>
      <c r="E64" s="21"/>
      <c r="F64" s="3">
        <v>0</v>
      </c>
      <c r="G64" s="127"/>
      <c r="H64" s="3">
        <v>0</v>
      </c>
      <c r="I64" s="127"/>
      <c r="J64" s="194"/>
      <c r="K64" s="195"/>
      <c r="L64" s="196"/>
      <c r="M64" s="127"/>
      <c r="N64" s="194"/>
      <c r="O64" s="195"/>
      <c r="P64" s="196"/>
      <c r="Q64" s="127"/>
      <c r="R64" s="3">
        <v>4315</v>
      </c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4315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6" t="s">
        <v>100</v>
      </c>
      <c r="D66" s="157" t="s">
        <v>87</v>
      </c>
      <c r="E66" s="21"/>
      <c r="F66" s="3">
        <v>0</v>
      </c>
      <c r="G66" s="127"/>
      <c r="H66" s="3">
        <v>0</v>
      </c>
      <c r="I66" s="127"/>
      <c r="J66" s="194"/>
      <c r="K66" s="195"/>
      <c r="L66" s="196"/>
      <c r="M66" s="127"/>
      <c r="N66" s="194"/>
      <c r="O66" s="195"/>
      <c r="P66" s="196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1" t="s">
        <v>0</v>
      </c>
      <c r="D68" s="152"/>
      <c r="E68" s="57"/>
      <c r="F68" s="67">
        <f>SUM(F58:F66)</f>
        <v>1013497.32</v>
      </c>
      <c r="G68" s="21"/>
      <c r="H68" s="68">
        <f>SUM(H58:H66)</f>
        <v>323950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4315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1341762.3199999998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B18" zoomScale="86" zoomScaleNormal="93" zoomScalePageLayoutView="93" workbookViewId="0">
      <selection activeCell="H63" sqref="H6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8" t="s">
        <v>105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</row>
    <row r="3" spans="1:37" ht="37" customHeight="1" x14ac:dyDescent="0.65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3" t="str">
        <f>Summary!D11:O11</f>
        <v>San Joaquin Delta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0" t="s">
        <v>123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90</v>
      </c>
      <c r="W17" s="44"/>
      <c r="X17" s="161" t="s">
        <v>4</v>
      </c>
      <c r="Y17" s="44"/>
      <c r="Z17" s="161" t="s">
        <v>7</v>
      </c>
      <c r="AA17" s="44"/>
      <c r="AB17" s="161" t="s">
        <v>0</v>
      </c>
      <c r="AC17" s="42"/>
    </row>
    <row r="18" spans="1:37" ht="5" customHeight="1" x14ac:dyDescent="0.6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B18" s="162"/>
      <c r="AC18" s="42"/>
    </row>
    <row r="19" spans="1:37" s="45" customFormat="1" ht="29" customHeight="1" thickBot="1" x14ac:dyDescent="0.7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B19" s="163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>
        <f>381565*0.9561</f>
        <v>364814.2965</v>
      </c>
      <c r="G21" s="127"/>
      <c r="H21" s="3">
        <f>63665*0.95</f>
        <v>60481.75</v>
      </c>
      <c r="I21" s="127"/>
      <c r="J21" s="194"/>
      <c r="K21" s="195"/>
      <c r="L21" s="196"/>
      <c r="M21" s="127"/>
      <c r="N21" s="194"/>
      <c r="O21" s="195"/>
      <c r="P21" s="196"/>
      <c r="Q21" s="127"/>
      <c r="R21" s="3">
        <v>7045</v>
      </c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432341.0465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>
        <f>360522*0.9561</f>
        <v>344695.08419999998</v>
      </c>
      <c r="G23" s="127"/>
      <c r="H23" s="3">
        <f>128194*0.95</f>
        <v>121784.29999999999</v>
      </c>
      <c r="I23" s="127"/>
      <c r="J23" s="194"/>
      <c r="K23" s="195"/>
      <c r="L23" s="196"/>
      <c r="M23" s="127"/>
      <c r="N23" s="194"/>
      <c r="O23" s="195"/>
      <c r="P23" s="196"/>
      <c r="Q23" s="127"/>
      <c r="R23" s="3">
        <v>6146</v>
      </c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472625.38419999997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f>75620*0.95</f>
        <v>71839</v>
      </c>
      <c r="I25" s="127"/>
      <c r="J25" s="194"/>
      <c r="K25" s="195"/>
      <c r="L25" s="196"/>
      <c r="M25" s="127"/>
      <c r="N25" s="194"/>
      <c r="O25" s="195"/>
      <c r="P25" s="196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71839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f>26647*0.95</f>
        <v>25314.649999999998</v>
      </c>
      <c r="I27" s="127"/>
      <c r="J27" s="194"/>
      <c r="K27" s="195"/>
      <c r="L27" s="196"/>
      <c r="M27" s="127"/>
      <c r="N27" s="194"/>
      <c r="O27" s="195"/>
      <c r="P27" s="196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25314.649999999998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0</v>
      </c>
      <c r="I29" s="127"/>
      <c r="J29" s="194"/>
      <c r="K29" s="195"/>
      <c r="L29" s="196"/>
      <c r="M29" s="127"/>
      <c r="N29" s="194"/>
      <c r="O29" s="195"/>
      <c r="P29" s="196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>
        <f>209019*0.9561</f>
        <v>199843.06589999999</v>
      </c>
      <c r="G31" s="127"/>
      <c r="H31" s="3">
        <f>90024*0.95</f>
        <v>85522.8</v>
      </c>
      <c r="I31" s="127"/>
      <c r="J31" s="194"/>
      <c r="K31" s="195"/>
      <c r="L31" s="196"/>
      <c r="M31" s="127"/>
      <c r="N31" s="194"/>
      <c r="O31" s="195"/>
      <c r="P31" s="196"/>
      <c r="Q31" s="127"/>
      <c r="R31" s="3">
        <v>1185.5</v>
      </c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286551.36589999998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4"/>
      <c r="K33" s="195"/>
      <c r="L33" s="196"/>
      <c r="M33" s="127"/>
      <c r="N33" s="194"/>
      <c r="O33" s="195"/>
      <c r="P33" s="196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1" t="s">
        <v>0</v>
      </c>
      <c r="D35" s="152"/>
      <c r="E35" s="57"/>
      <c r="F35" s="67">
        <f>SUM(F21:F33)</f>
        <v>909352.44659999991</v>
      </c>
      <c r="G35" s="21"/>
      <c r="H35" s="68">
        <f>SUM(H21:H33)</f>
        <v>364942.5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14376.5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1288671.4465999999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1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3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>
        <v>951106</v>
      </c>
      <c r="G44" s="127"/>
      <c r="H44" s="3">
        <v>41754</v>
      </c>
      <c r="I44" s="86"/>
      <c r="J44" s="147">
        <v>4.3900000000000002E-2</v>
      </c>
      <c r="K44" s="86"/>
      <c r="L44" s="3">
        <v>0</v>
      </c>
      <c r="M44" s="88"/>
      <c r="N44" s="87">
        <v>0.05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384150</v>
      </c>
      <c r="G46" s="127"/>
      <c r="H46" s="3">
        <v>0</v>
      </c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9"/>
      <c r="D47" s="149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1" t="s">
        <v>0</v>
      </c>
      <c r="D48" s="152"/>
      <c r="E48" s="83"/>
      <c r="F48" s="67">
        <f>SUM(F44:F46)</f>
        <v>1335256</v>
      </c>
      <c r="G48" s="21"/>
      <c r="H48" s="67">
        <f>SUM(H44:H46)</f>
        <v>41754</v>
      </c>
      <c r="I48" s="83"/>
      <c r="J48" s="87">
        <f>IFERROR(H48/F48,"")</f>
        <v>3.1270408071560812E-2</v>
      </c>
      <c r="K48" s="86"/>
      <c r="L48" s="67">
        <f>SUM(L44:L46)</f>
        <v>0</v>
      </c>
      <c r="M48" s="83"/>
      <c r="N48" s="87">
        <f>N44</f>
        <v>0.05</v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90</v>
      </c>
      <c r="W53" s="44"/>
      <c r="X53" s="161" t="s">
        <v>4</v>
      </c>
      <c r="Y53" s="44"/>
      <c r="Z53" s="161" t="s">
        <v>7</v>
      </c>
      <c r="AA53" s="44"/>
      <c r="AB53" s="161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B54" s="162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B55" s="163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6" t="s">
        <v>96</v>
      </c>
      <c r="D58" s="157" t="s">
        <v>83</v>
      </c>
      <c r="E58" s="21"/>
      <c r="F58" s="3">
        <f>150494*0.9561</f>
        <v>143887.31339999998</v>
      </c>
      <c r="G58" s="127"/>
      <c r="H58" s="3">
        <f>60784*0.95</f>
        <v>57744.799999999996</v>
      </c>
      <c r="I58" s="127"/>
      <c r="J58" s="194"/>
      <c r="K58" s="195"/>
      <c r="L58" s="196"/>
      <c r="M58" s="127"/>
      <c r="N58" s="194"/>
      <c r="O58" s="195"/>
      <c r="P58" s="196"/>
      <c r="Q58" s="127"/>
      <c r="R58" s="3">
        <v>3594</v>
      </c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205226.11339999997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6" t="s">
        <v>97</v>
      </c>
      <c r="D60" s="157" t="s">
        <v>84</v>
      </c>
      <c r="E60" s="21"/>
      <c r="F60" s="3">
        <f>501051*0.9561</f>
        <v>479054.86109999998</v>
      </c>
      <c r="G60" s="127"/>
      <c r="H60" s="3">
        <f>202374*0.95</f>
        <v>192255.3</v>
      </c>
      <c r="I60" s="127"/>
      <c r="J60" s="194"/>
      <c r="K60" s="195"/>
      <c r="L60" s="196"/>
      <c r="M60" s="127"/>
      <c r="N60" s="194"/>
      <c r="O60" s="195"/>
      <c r="P60" s="196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671310.16109999991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6" t="s">
        <v>98</v>
      </c>
      <c r="D62" s="157" t="s">
        <v>85</v>
      </c>
      <c r="E62" s="21"/>
      <c r="F62" s="3">
        <f>299561*0.9561</f>
        <v>286410.2721</v>
      </c>
      <c r="G62" s="127"/>
      <c r="H62" s="3">
        <f>120992*0.95</f>
        <v>114942.39999999999</v>
      </c>
      <c r="I62" s="127"/>
      <c r="J62" s="194"/>
      <c r="K62" s="195"/>
      <c r="L62" s="196"/>
      <c r="M62" s="127"/>
      <c r="N62" s="194"/>
      <c r="O62" s="195"/>
      <c r="P62" s="196"/>
      <c r="Q62" s="127"/>
      <c r="R62" s="3">
        <v>3594</v>
      </c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404946.67209999997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6" t="s">
        <v>99</v>
      </c>
      <c r="D64" s="157" t="s">
        <v>86</v>
      </c>
      <c r="E64" s="21"/>
      <c r="F64" s="3">
        <v>0</v>
      </c>
      <c r="G64" s="127"/>
      <c r="H64" s="3">
        <v>0</v>
      </c>
      <c r="I64" s="127"/>
      <c r="J64" s="194"/>
      <c r="K64" s="195"/>
      <c r="L64" s="196"/>
      <c r="M64" s="127"/>
      <c r="N64" s="194"/>
      <c r="O64" s="195"/>
      <c r="P64" s="196"/>
      <c r="Q64" s="127"/>
      <c r="R64" s="3">
        <v>7189</v>
      </c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7189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6" t="s">
        <v>100</v>
      </c>
      <c r="D66" s="157" t="s">
        <v>87</v>
      </c>
      <c r="E66" s="21"/>
      <c r="F66" s="3">
        <v>0</v>
      </c>
      <c r="G66" s="127"/>
      <c r="H66" s="3">
        <v>0</v>
      </c>
      <c r="I66" s="127"/>
      <c r="J66" s="194"/>
      <c r="K66" s="195"/>
      <c r="L66" s="196"/>
      <c r="M66" s="127"/>
      <c r="N66" s="194"/>
      <c r="O66" s="195"/>
      <c r="P66" s="196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1" t="s">
        <v>0</v>
      </c>
      <c r="D68" s="152"/>
      <c r="E68" s="57"/>
      <c r="F68" s="67">
        <f>SUM(F58:F66)</f>
        <v>909352.44659999991</v>
      </c>
      <c r="G68" s="21"/>
      <c r="H68" s="68">
        <f>SUM(H58:H66)</f>
        <v>364942.5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14377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1288671.9465999999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20" zoomScale="86" zoomScaleNormal="93" zoomScalePageLayoutView="93" workbookViewId="0">
      <selection activeCell="H65" sqref="H65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8" t="s">
        <v>105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</row>
    <row r="3" spans="1:37" ht="37" customHeight="1" x14ac:dyDescent="0.65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3" t="str">
        <f>Summary!D11:O11</f>
        <v>San Joaquin Delta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0" t="s">
        <v>121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90</v>
      </c>
      <c r="W17" s="44"/>
      <c r="X17" s="161" t="s">
        <v>4</v>
      </c>
      <c r="Y17" s="44"/>
      <c r="Z17" s="161" t="s">
        <v>7</v>
      </c>
      <c r="AA17" s="44"/>
      <c r="AB17" s="161" t="s">
        <v>0</v>
      </c>
      <c r="AC17" s="42"/>
    </row>
    <row r="18" spans="1:37" ht="5" customHeight="1" x14ac:dyDescent="0.6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B18" s="162"/>
      <c r="AC18" s="42"/>
    </row>
    <row r="19" spans="1:37" s="45" customFormat="1" ht="29" customHeight="1" thickBot="1" x14ac:dyDescent="0.7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B19" s="163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>
        <f>23575*0.9456</f>
        <v>22292.52</v>
      </c>
      <c r="G21" s="127"/>
      <c r="H21" s="3">
        <f>29753*0.95</f>
        <v>28265.35</v>
      </c>
      <c r="I21" s="127"/>
      <c r="J21" s="194"/>
      <c r="K21" s="195"/>
      <c r="L21" s="196"/>
      <c r="M21" s="127"/>
      <c r="N21" s="194"/>
      <c r="O21" s="195"/>
      <c r="P21" s="196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50557.869999999995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>
        <v>0</v>
      </c>
      <c r="G23" s="127"/>
      <c r="H23" s="3">
        <f>11355*0.95</f>
        <v>10787.25</v>
      </c>
      <c r="I23" s="127"/>
      <c r="J23" s="194"/>
      <c r="K23" s="195"/>
      <c r="L23" s="196"/>
      <c r="M23" s="127"/>
      <c r="N23" s="194"/>
      <c r="O23" s="195"/>
      <c r="P23" s="196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10787.25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0</v>
      </c>
      <c r="I25" s="127"/>
      <c r="J25" s="194"/>
      <c r="K25" s="195"/>
      <c r="L25" s="196"/>
      <c r="M25" s="127"/>
      <c r="N25" s="194"/>
      <c r="O25" s="195"/>
      <c r="P25" s="196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f>13067*0.95</f>
        <v>12413.65</v>
      </c>
      <c r="I27" s="127"/>
      <c r="J27" s="194"/>
      <c r="K27" s="195"/>
      <c r="L27" s="196"/>
      <c r="M27" s="127"/>
      <c r="N27" s="194"/>
      <c r="O27" s="195"/>
      <c r="P27" s="196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12413.65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0</v>
      </c>
      <c r="I29" s="127"/>
      <c r="J29" s="194"/>
      <c r="K29" s="195"/>
      <c r="L29" s="196"/>
      <c r="M29" s="127"/>
      <c r="N29" s="194"/>
      <c r="O29" s="195"/>
      <c r="P29" s="196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v>0</v>
      </c>
      <c r="I31" s="127"/>
      <c r="J31" s="194"/>
      <c r="K31" s="195"/>
      <c r="L31" s="196"/>
      <c r="M31" s="127"/>
      <c r="N31" s="194"/>
      <c r="O31" s="195"/>
      <c r="P31" s="196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4"/>
      <c r="K33" s="195"/>
      <c r="L33" s="196"/>
      <c r="M33" s="127"/>
      <c r="N33" s="194"/>
      <c r="O33" s="195"/>
      <c r="P33" s="196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1" t="s">
        <v>0</v>
      </c>
      <c r="D35" s="152"/>
      <c r="E35" s="57"/>
      <c r="F35" s="68">
        <f>SUM(F21:F33)</f>
        <v>22292.52</v>
      </c>
      <c r="G35" s="21"/>
      <c r="H35" s="68">
        <f>SUM(H21:H33)</f>
        <v>51466.25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73758.76999999999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1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3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>
        <v>23575</v>
      </c>
      <c r="G44" s="127"/>
      <c r="H44" s="3">
        <f>0.0544*F44</f>
        <v>1282.48</v>
      </c>
      <c r="I44" s="86"/>
      <c r="J44" s="147">
        <v>5.4399999999999997E-2</v>
      </c>
      <c r="K44" s="86"/>
      <c r="L44" s="3">
        <v>0</v>
      </c>
      <c r="M44" s="88"/>
      <c r="N44" s="87">
        <v>0.05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54175</v>
      </c>
      <c r="G46" s="127"/>
      <c r="H46" s="3">
        <v>0</v>
      </c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9"/>
      <c r="D47" s="149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1" t="s">
        <v>0</v>
      </c>
      <c r="D48" s="152"/>
      <c r="E48" s="83"/>
      <c r="F48" s="67">
        <f>SUM(F44:F46)</f>
        <v>77750</v>
      </c>
      <c r="G48" s="21"/>
      <c r="H48" s="67">
        <f>SUM(H44:H46)</f>
        <v>1282.48</v>
      </c>
      <c r="I48" s="83"/>
      <c r="J48" s="87">
        <f>IFERROR(H48/F48,"")</f>
        <v>1.649491961414791E-2</v>
      </c>
      <c r="K48" s="86"/>
      <c r="L48" s="67">
        <f>SUM(L44:L46)</f>
        <v>0</v>
      </c>
      <c r="M48" s="83"/>
      <c r="N48" s="87">
        <f>N44</f>
        <v>0.05</v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90</v>
      </c>
      <c r="W53" s="44"/>
      <c r="X53" s="161" t="s">
        <v>4</v>
      </c>
      <c r="Y53" s="44"/>
      <c r="Z53" s="161" t="s">
        <v>7</v>
      </c>
      <c r="AA53" s="44"/>
      <c r="AB53" s="161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B54" s="162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B55" s="163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6" t="s">
        <v>96</v>
      </c>
      <c r="D58" s="157" t="s">
        <v>83</v>
      </c>
      <c r="E58" s="21"/>
      <c r="F58" s="3">
        <f>5995*0.9456</f>
        <v>5668.8720000000003</v>
      </c>
      <c r="G58" s="127"/>
      <c r="H58" s="3">
        <f>13777*0.95</f>
        <v>13088.15</v>
      </c>
      <c r="I58" s="127"/>
      <c r="J58" s="194"/>
      <c r="K58" s="195"/>
      <c r="L58" s="196"/>
      <c r="M58" s="127"/>
      <c r="N58" s="194"/>
      <c r="O58" s="195"/>
      <c r="P58" s="196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18757.022000000001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6" t="s">
        <v>97</v>
      </c>
      <c r="D60" s="157" t="s">
        <v>84</v>
      </c>
      <c r="E60" s="21"/>
      <c r="F60" s="3">
        <f>17503*0.9456</f>
        <v>16550.836800000001</v>
      </c>
      <c r="G60" s="127"/>
      <c r="H60" s="3">
        <f>40222*0.95</f>
        <v>38210.9</v>
      </c>
      <c r="I60" s="127"/>
      <c r="J60" s="194"/>
      <c r="K60" s="195"/>
      <c r="L60" s="196"/>
      <c r="M60" s="127"/>
      <c r="N60" s="194"/>
      <c r="O60" s="195"/>
      <c r="P60" s="196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54761.736799999999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6" t="s">
        <v>98</v>
      </c>
      <c r="D62" s="157" t="s">
        <v>85</v>
      </c>
      <c r="E62" s="21"/>
      <c r="F62" s="3">
        <v>0</v>
      </c>
      <c r="G62" s="127"/>
      <c r="H62" s="3">
        <v>0</v>
      </c>
      <c r="I62" s="127"/>
      <c r="J62" s="194"/>
      <c r="K62" s="195"/>
      <c r="L62" s="196"/>
      <c r="M62" s="127"/>
      <c r="N62" s="194"/>
      <c r="O62" s="195"/>
      <c r="P62" s="196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6" t="s">
        <v>99</v>
      </c>
      <c r="D64" s="157" t="s">
        <v>86</v>
      </c>
      <c r="E64" s="21"/>
      <c r="F64" s="3">
        <f>77*0.9456</f>
        <v>72.811199999999999</v>
      </c>
      <c r="G64" s="127"/>
      <c r="H64" s="3">
        <f>176*0.95</f>
        <v>167.2</v>
      </c>
      <c r="I64" s="127"/>
      <c r="J64" s="194"/>
      <c r="K64" s="195"/>
      <c r="L64" s="196"/>
      <c r="M64" s="127"/>
      <c r="N64" s="194"/>
      <c r="O64" s="195"/>
      <c r="P64" s="196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240.01119999999997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6" t="s">
        <v>100</v>
      </c>
      <c r="D66" s="157" t="s">
        <v>87</v>
      </c>
      <c r="E66" s="21"/>
      <c r="F66" s="3">
        <v>0</v>
      </c>
      <c r="G66" s="127"/>
      <c r="H66" s="3">
        <v>0</v>
      </c>
      <c r="I66" s="127"/>
      <c r="J66" s="194"/>
      <c r="K66" s="195"/>
      <c r="L66" s="196"/>
      <c r="M66" s="127"/>
      <c r="N66" s="194"/>
      <c r="O66" s="195"/>
      <c r="P66" s="196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1" t="s">
        <v>0</v>
      </c>
      <c r="D68" s="152"/>
      <c r="E68" s="57"/>
      <c r="F68" s="67">
        <f>SUM(F58:F66)</f>
        <v>22292.52</v>
      </c>
      <c r="G68" s="21"/>
      <c r="H68" s="68">
        <f>SUM(H58:H66)</f>
        <v>51466.25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73758.76999999999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4294967292" verticalDpi="429496729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18" zoomScale="86" zoomScaleNormal="93" zoomScalePageLayoutView="93" workbookViewId="0">
      <selection activeCell="H64" sqref="H64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8" t="s">
        <v>105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</row>
    <row r="3" spans="1:37" ht="37" customHeight="1" x14ac:dyDescent="0.65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3" t="str">
        <f>Summary!D11:O11</f>
        <v>San Joaquin Delta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0" t="s">
        <v>122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90</v>
      </c>
      <c r="W17" s="44"/>
      <c r="X17" s="161" t="s">
        <v>4</v>
      </c>
      <c r="Y17" s="44"/>
      <c r="Z17" s="161" t="s">
        <v>7</v>
      </c>
      <c r="AA17" s="44"/>
      <c r="AB17" s="161" t="s">
        <v>0</v>
      </c>
      <c r="AC17" s="42"/>
    </row>
    <row r="18" spans="1:37" ht="5" customHeight="1" x14ac:dyDescent="0.6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B18" s="162"/>
      <c r="AC18" s="42"/>
    </row>
    <row r="19" spans="1:37" s="45" customFormat="1" ht="29" customHeight="1" thickBot="1" x14ac:dyDescent="0.7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B19" s="163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>
        <f>1123935*0.9584</f>
        <v>1077179.304</v>
      </c>
      <c r="G21" s="127"/>
      <c r="H21" s="3">
        <f>408775*0.95</f>
        <v>388336.25</v>
      </c>
      <c r="I21" s="127"/>
      <c r="J21" s="194">
        <v>596702</v>
      </c>
      <c r="K21" s="195"/>
      <c r="L21" s="196"/>
      <c r="M21" s="127"/>
      <c r="N21" s="194"/>
      <c r="O21" s="195"/>
      <c r="P21" s="196"/>
      <c r="Q21" s="127"/>
      <c r="R21" s="3">
        <v>25751</v>
      </c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2087968.554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>
        <f>980550*0.9584</f>
        <v>939759.12</v>
      </c>
      <c r="G23" s="127"/>
      <c r="H23" s="3">
        <f>0.95*453100</f>
        <v>430445</v>
      </c>
      <c r="I23" s="127"/>
      <c r="J23" s="194">
        <v>520579</v>
      </c>
      <c r="K23" s="195"/>
      <c r="L23" s="196"/>
      <c r="M23" s="127"/>
      <c r="N23" s="194"/>
      <c r="O23" s="195"/>
      <c r="P23" s="196"/>
      <c r="Q23" s="127"/>
      <c r="R23" s="3">
        <v>22466</v>
      </c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1913249.12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f>0.95*24625</f>
        <v>23393.75</v>
      </c>
      <c r="I25" s="127"/>
      <c r="J25" s="194"/>
      <c r="K25" s="195"/>
      <c r="L25" s="196"/>
      <c r="M25" s="127"/>
      <c r="N25" s="194"/>
      <c r="O25" s="195"/>
      <c r="P25" s="196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23393.75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4"/>
      <c r="K27" s="195"/>
      <c r="L27" s="196"/>
      <c r="M27" s="127"/>
      <c r="N27" s="194"/>
      <c r="O27" s="195"/>
      <c r="P27" s="196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0</v>
      </c>
      <c r="I29" s="127"/>
      <c r="J29" s="194"/>
      <c r="K29" s="195"/>
      <c r="L29" s="196"/>
      <c r="M29" s="127"/>
      <c r="N29" s="194"/>
      <c r="O29" s="195"/>
      <c r="P29" s="196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>
        <f>189110*0.9584</f>
        <v>181243.024</v>
      </c>
      <c r="G31" s="127"/>
      <c r="H31" s="3">
        <f>0.95*34475</f>
        <v>32751.25</v>
      </c>
      <c r="I31" s="127"/>
      <c r="J31" s="194"/>
      <c r="K31" s="195"/>
      <c r="L31" s="196"/>
      <c r="M31" s="127"/>
      <c r="N31" s="194"/>
      <c r="O31" s="195"/>
      <c r="P31" s="196"/>
      <c r="Q31" s="127"/>
      <c r="R31" s="3">
        <v>4333</v>
      </c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218327.274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4"/>
      <c r="K33" s="195"/>
      <c r="L33" s="196"/>
      <c r="M33" s="127"/>
      <c r="N33" s="194"/>
      <c r="O33" s="195"/>
      <c r="P33" s="196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1" t="s">
        <v>0</v>
      </c>
      <c r="D35" s="152"/>
      <c r="E35" s="57"/>
      <c r="F35" s="67">
        <f>SUM(F21:F33)</f>
        <v>2198181.4480000003</v>
      </c>
      <c r="G35" s="21"/>
      <c r="H35" s="68">
        <f>SUM(H21:H33)</f>
        <v>874926.25</v>
      </c>
      <c r="I35" s="57"/>
      <c r="J35" s="197">
        <v>1117281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52550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4242938.6979999999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1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3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>
        <v>2293596</v>
      </c>
      <c r="G44" s="127"/>
      <c r="H44" s="3">
        <f>F44*J44</f>
        <v>95413.593599999993</v>
      </c>
      <c r="I44" s="86"/>
      <c r="J44" s="147">
        <v>4.1599999999999998E-2</v>
      </c>
      <c r="K44" s="86"/>
      <c r="L44" s="3">
        <v>0</v>
      </c>
      <c r="M44" s="88"/>
      <c r="N44" s="87">
        <v>0.05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920975</v>
      </c>
      <c r="G46" s="127"/>
      <c r="H46" s="3">
        <v>0</v>
      </c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9"/>
      <c r="D47" s="149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1" t="s">
        <v>0</v>
      </c>
      <c r="D48" s="152"/>
      <c r="E48" s="83"/>
      <c r="F48" s="67">
        <f>SUM(F44:F46)</f>
        <v>3214571</v>
      </c>
      <c r="G48" s="21"/>
      <c r="H48" s="67">
        <f>SUM(H44:H46)</f>
        <v>95413.593599999993</v>
      </c>
      <c r="I48" s="83"/>
      <c r="J48" s="87">
        <f>IFERROR(H48/F48,"")</f>
        <v>2.9681594713571419E-2</v>
      </c>
      <c r="K48" s="86"/>
      <c r="L48" s="67">
        <f>SUM(L44:L46)</f>
        <v>0</v>
      </c>
      <c r="M48" s="83"/>
      <c r="N48" s="87">
        <f>N44</f>
        <v>0.05</v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90</v>
      </c>
      <c r="W53" s="44"/>
      <c r="X53" s="161" t="s">
        <v>4</v>
      </c>
      <c r="Y53" s="44"/>
      <c r="Z53" s="161" t="s">
        <v>7</v>
      </c>
      <c r="AA53" s="44"/>
      <c r="AB53" s="161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B54" s="162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B55" s="163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6" t="s">
        <v>96</v>
      </c>
      <c r="D58" s="157" t="s">
        <v>83</v>
      </c>
      <c r="E58" s="21"/>
      <c r="F58" s="3">
        <f>539670*0.9584</f>
        <v>517219.728</v>
      </c>
      <c r="G58" s="127"/>
      <c r="H58" s="3">
        <f>0.95*216700</f>
        <v>205865</v>
      </c>
      <c r="I58" s="127"/>
      <c r="J58" s="194">
        <v>279320</v>
      </c>
      <c r="K58" s="195"/>
      <c r="L58" s="196"/>
      <c r="M58" s="127"/>
      <c r="N58" s="194"/>
      <c r="O58" s="195"/>
      <c r="P58" s="196"/>
      <c r="Q58" s="127"/>
      <c r="R58" s="3">
        <v>13138</v>
      </c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1015542.728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6" t="s">
        <v>97</v>
      </c>
      <c r="D60" s="157" t="s">
        <v>84</v>
      </c>
      <c r="E60" s="21"/>
      <c r="F60" s="3">
        <f>1140665*0.9584</f>
        <v>1093213.3360000001</v>
      </c>
      <c r="G60" s="127"/>
      <c r="H60" s="3">
        <f>0.95*458025</f>
        <v>435123.75</v>
      </c>
      <c r="I60" s="127"/>
      <c r="J60" s="194"/>
      <c r="K60" s="195"/>
      <c r="L60" s="196"/>
      <c r="M60" s="127"/>
      <c r="N60" s="194"/>
      <c r="O60" s="195"/>
      <c r="P60" s="196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1528337.0860000001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6" t="s">
        <v>98</v>
      </c>
      <c r="D62" s="157" t="s">
        <v>85</v>
      </c>
      <c r="E62" s="21"/>
      <c r="F62" s="3">
        <f>613261*0.9584</f>
        <v>587749.34239999996</v>
      </c>
      <c r="G62" s="127"/>
      <c r="H62" s="3">
        <f>0.95*246250</f>
        <v>233937.5</v>
      </c>
      <c r="I62" s="127"/>
      <c r="J62" s="194">
        <v>279620</v>
      </c>
      <c r="K62" s="195"/>
      <c r="L62" s="196"/>
      <c r="M62" s="127"/>
      <c r="N62" s="194"/>
      <c r="O62" s="195"/>
      <c r="P62" s="196"/>
      <c r="Q62" s="127"/>
      <c r="R62" s="3">
        <v>13137.5</v>
      </c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1114444.3424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6" t="s">
        <v>99</v>
      </c>
      <c r="D64" s="157" t="s">
        <v>86</v>
      </c>
      <c r="E64" s="21"/>
      <c r="F64" s="3">
        <v>0</v>
      </c>
      <c r="G64" s="127"/>
      <c r="H64" s="3">
        <v>0</v>
      </c>
      <c r="I64" s="127"/>
      <c r="J64" s="194">
        <v>558641</v>
      </c>
      <c r="K64" s="195"/>
      <c r="L64" s="196"/>
      <c r="M64" s="127"/>
      <c r="N64" s="194"/>
      <c r="O64" s="195"/>
      <c r="P64" s="196"/>
      <c r="Q64" s="127"/>
      <c r="R64" s="3">
        <v>26274.5</v>
      </c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584915.5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6" t="s">
        <v>100</v>
      </c>
      <c r="D66" s="157" t="s">
        <v>87</v>
      </c>
      <c r="E66" s="21"/>
      <c r="F66" s="3">
        <v>0</v>
      </c>
      <c r="G66" s="127"/>
      <c r="H66" s="3">
        <v>0</v>
      </c>
      <c r="I66" s="127"/>
      <c r="J66" s="194"/>
      <c r="K66" s="195"/>
      <c r="L66" s="196"/>
      <c r="M66" s="127"/>
      <c r="N66" s="194"/>
      <c r="O66" s="195"/>
      <c r="P66" s="196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1" t="s">
        <v>0</v>
      </c>
      <c r="D68" s="152"/>
      <c r="E68" s="57"/>
      <c r="F68" s="67">
        <f>SUM(F58:F66)</f>
        <v>2198182.4064000002</v>
      </c>
      <c r="G68" s="21"/>
      <c r="H68" s="68">
        <f>SUM(H58:H66)</f>
        <v>874926.25</v>
      </c>
      <c r="I68" s="57"/>
      <c r="J68" s="197">
        <f>SUM(J58:L66)</f>
        <v>1117581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52550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4243239.6564000007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4294967292" verticalDpi="429496729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A17" zoomScale="86" zoomScaleNormal="93" zoomScalePageLayoutView="93" workbookViewId="0">
      <selection activeCell="H66" sqref="H6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8" t="s">
        <v>105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</row>
    <row r="3" spans="1:37" ht="37" customHeight="1" x14ac:dyDescent="0.65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3" t="str">
        <f>Summary!D11:O11</f>
        <v>San Joaquin Delta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0" t="s">
        <v>126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90</v>
      </c>
      <c r="W17" s="44"/>
      <c r="X17" s="161" t="s">
        <v>4</v>
      </c>
      <c r="Y17" s="44"/>
      <c r="Z17" s="161" t="s">
        <v>7</v>
      </c>
      <c r="AA17" s="44"/>
      <c r="AB17" s="161" t="s">
        <v>0</v>
      </c>
      <c r="AC17" s="42"/>
    </row>
    <row r="18" spans="1:37" ht="5" customHeight="1" x14ac:dyDescent="0.6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B18" s="162"/>
      <c r="AC18" s="42"/>
    </row>
    <row r="19" spans="1:37" s="45" customFormat="1" ht="29" customHeight="1" thickBot="1" x14ac:dyDescent="0.7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B19" s="163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>
        <f>117051*0.9586</f>
        <v>112205.0886</v>
      </c>
      <c r="G21" s="127"/>
      <c r="H21" s="3">
        <f>0.95*75845</f>
        <v>72052.75</v>
      </c>
      <c r="I21" s="127"/>
      <c r="J21" s="194">
        <v>80819.5</v>
      </c>
      <c r="K21" s="195"/>
      <c r="L21" s="196"/>
      <c r="M21" s="127"/>
      <c r="N21" s="194"/>
      <c r="O21" s="195"/>
      <c r="P21" s="196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265077.33860000002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>
        <f>117051*0.9586</f>
        <v>112205.0886</v>
      </c>
      <c r="G23" s="127"/>
      <c r="H23" s="3">
        <f>0.95*97515</f>
        <v>92639.25</v>
      </c>
      <c r="I23" s="127"/>
      <c r="J23" s="194">
        <v>80819.5</v>
      </c>
      <c r="K23" s="195"/>
      <c r="L23" s="196"/>
      <c r="M23" s="127"/>
      <c r="N23" s="194"/>
      <c r="O23" s="195"/>
      <c r="P23" s="196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285663.83860000002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0</v>
      </c>
      <c r="I25" s="127"/>
      <c r="J25" s="194"/>
      <c r="K25" s="195"/>
      <c r="L25" s="196"/>
      <c r="M25" s="127"/>
      <c r="N25" s="194"/>
      <c r="O25" s="195"/>
      <c r="P25" s="196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4"/>
      <c r="K27" s="195"/>
      <c r="L27" s="196"/>
      <c r="M27" s="127"/>
      <c r="N27" s="194"/>
      <c r="O27" s="195"/>
      <c r="P27" s="196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0</v>
      </c>
      <c r="I29" s="127"/>
      <c r="J29" s="194"/>
      <c r="K29" s="195"/>
      <c r="L29" s="196"/>
      <c r="M29" s="127"/>
      <c r="N29" s="194"/>
      <c r="O29" s="195"/>
      <c r="P29" s="196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>
        <f>100329*0.9586</f>
        <v>96175.379400000005</v>
      </c>
      <c r="G31" s="127"/>
      <c r="H31" s="3">
        <f>0.95*43340</f>
        <v>41173</v>
      </c>
      <c r="I31" s="127"/>
      <c r="J31" s="194"/>
      <c r="K31" s="195"/>
      <c r="L31" s="196"/>
      <c r="M31" s="127"/>
      <c r="N31" s="194"/>
      <c r="O31" s="195"/>
      <c r="P31" s="196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137348.37940000001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4"/>
      <c r="K33" s="195"/>
      <c r="L33" s="196"/>
      <c r="M33" s="127"/>
      <c r="N33" s="194"/>
      <c r="O33" s="195"/>
      <c r="P33" s="196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1" t="s">
        <v>0</v>
      </c>
      <c r="D35" s="152"/>
      <c r="E35" s="57"/>
      <c r="F35" s="67">
        <f>SUM(F21:F33)</f>
        <v>320585.55660000001</v>
      </c>
      <c r="G35" s="21"/>
      <c r="H35" s="68">
        <f>SUM(H21:H33)</f>
        <v>205865</v>
      </c>
      <c r="I35" s="57"/>
      <c r="J35" s="197">
        <f>SUM(J21:L33)</f>
        <v>161639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688089.55660000001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1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3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>
        <v>334430</v>
      </c>
      <c r="G44" s="127"/>
      <c r="H44" s="3">
        <f>0.0414*F44</f>
        <v>13845.402</v>
      </c>
      <c r="I44" s="86"/>
      <c r="J44" s="147">
        <v>4.1399999999999999E-2</v>
      </c>
      <c r="K44" s="86"/>
      <c r="L44" s="3"/>
      <c r="M44" s="88"/>
      <c r="N44" s="87">
        <v>0.05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216700</v>
      </c>
      <c r="G46" s="127"/>
      <c r="H46" s="3">
        <v>0</v>
      </c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9"/>
      <c r="D47" s="149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1" t="s">
        <v>0</v>
      </c>
      <c r="D48" s="152"/>
      <c r="E48" s="83"/>
      <c r="F48" s="67">
        <f>SUM(F44:F46)</f>
        <v>551130</v>
      </c>
      <c r="G48" s="21"/>
      <c r="H48" s="67">
        <f>SUM(H44:H46)</f>
        <v>13845.402</v>
      </c>
      <c r="I48" s="83"/>
      <c r="J48" s="87">
        <f>IFERROR(H48/F48,"")</f>
        <v>2.5121844210984703E-2</v>
      </c>
      <c r="K48" s="86"/>
      <c r="L48" s="67">
        <f>SUM(L44:L46)</f>
        <v>0</v>
      </c>
      <c r="M48" s="83"/>
      <c r="N48" s="87">
        <f>N44</f>
        <v>0.05</v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90</v>
      </c>
      <c r="W53" s="44"/>
      <c r="X53" s="161" t="s">
        <v>4</v>
      </c>
      <c r="Y53" s="44"/>
      <c r="Z53" s="161" t="s">
        <v>7</v>
      </c>
      <c r="AA53" s="44"/>
      <c r="AB53" s="161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B54" s="162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B55" s="163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6" t="s">
        <v>96</v>
      </c>
      <c r="D58" s="157" t="s">
        <v>83</v>
      </c>
      <c r="E58" s="21"/>
      <c r="F58" s="3">
        <f>0.1*F35</f>
        <v>32058.555660000002</v>
      </c>
      <c r="G58" s="127"/>
      <c r="H58" s="3">
        <f>0.95*21670</f>
        <v>20586.5</v>
      </c>
      <c r="I58" s="127"/>
      <c r="J58" s="194">
        <v>40409.75</v>
      </c>
      <c r="K58" s="195"/>
      <c r="L58" s="196"/>
      <c r="M58" s="127"/>
      <c r="N58" s="194"/>
      <c r="O58" s="195"/>
      <c r="P58" s="196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93054.805659999998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6" t="s">
        <v>97</v>
      </c>
      <c r="D60" s="157" t="s">
        <v>84</v>
      </c>
      <c r="E60" s="21"/>
      <c r="F60" s="3">
        <f>0.8*F35</f>
        <v>256468.44528000001</v>
      </c>
      <c r="G60" s="127"/>
      <c r="H60" s="3">
        <f>0.95*173360</f>
        <v>164692</v>
      </c>
      <c r="I60" s="127"/>
      <c r="J60" s="194"/>
      <c r="K60" s="195"/>
      <c r="L60" s="196"/>
      <c r="M60" s="127"/>
      <c r="N60" s="194"/>
      <c r="O60" s="195"/>
      <c r="P60" s="196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421160.44527999999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6" t="s">
        <v>98</v>
      </c>
      <c r="D62" s="157" t="s">
        <v>85</v>
      </c>
      <c r="E62" s="21"/>
      <c r="F62" s="3">
        <f>0.05*F35</f>
        <v>16029.277830000001</v>
      </c>
      <c r="G62" s="127"/>
      <c r="H62" s="3">
        <f>0.95*10835</f>
        <v>10293.25</v>
      </c>
      <c r="I62" s="127"/>
      <c r="J62" s="194">
        <v>56573.649999999994</v>
      </c>
      <c r="K62" s="195"/>
      <c r="L62" s="196"/>
      <c r="M62" s="127"/>
      <c r="N62" s="194"/>
      <c r="O62" s="195"/>
      <c r="P62" s="196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82896.177830000001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6" t="s">
        <v>99</v>
      </c>
      <c r="D64" s="157" t="s">
        <v>86</v>
      </c>
      <c r="E64" s="21"/>
      <c r="F64" s="3">
        <f>0.05*F35</f>
        <v>16029.277830000001</v>
      </c>
      <c r="G64" s="127"/>
      <c r="H64" s="3">
        <f>0.95*10835</f>
        <v>10293.25</v>
      </c>
      <c r="I64" s="127"/>
      <c r="J64" s="194">
        <v>64655.600000000006</v>
      </c>
      <c r="K64" s="195"/>
      <c r="L64" s="196"/>
      <c r="M64" s="127"/>
      <c r="N64" s="194"/>
      <c r="O64" s="195"/>
      <c r="P64" s="196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90978.127830000012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6" t="s">
        <v>100</v>
      </c>
      <c r="D66" s="157" t="s">
        <v>87</v>
      </c>
      <c r="E66" s="21"/>
      <c r="F66" s="3">
        <v>0</v>
      </c>
      <c r="G66" s="127"/>
      <c r="H66" s="3">
        <v>0</v>
      </c>
      <c r="I66" s="127"/>
      <c r="J66" s="194"/>
      <c r="K66" s="195"/>
      <c r="L66" s="196"/>
      <c r="M66" s="127"/>
      <c r="N66" s="194"/>
      <c r="O66" s="195"/>
      <c r="P66" s="196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1" t="s">
        <v>0</v>
      </c>
      <c r="D68" s="152"/>
      <c r="E68" s="57"/>
      <c r="F68" s="67">
        <f>SUM(F58:F66)</f>
        <v>320585.55659999995</v>
      </c>
      <c r="G68" s="21"/>
      <c r="H68" s="68">
        <f>SUM(H58:H66)</f>
        <v>205865</v>
      </c>
      <c r="I68" s="57"/>
      <c r="J68" s="197">
        <f>SUM(J58:L66)</f>
        <v>161639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688089.55660000001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Data</vt:lpstr>
      <vt:lpstr>Summary</vt:lpstr>
      <vt:lpstr>ddConsortia</vt:lpstr>
      <vt:lpstr>Delta</vt:lpstr>
      <vt:lpstr>Lodi</vt:lpstr>
      <vt:lpstr>Manteca</vt:lpstr>
      <vt:lpstr>River Delta</vt:lpstr>
      <vt:lpstr>Stockton</vt:lpstr>
      <vt:lpstr>Tracy</vt:lpstr>
      <vt:lpstr>SJCOE</vt:lpstr>
      <vt:lpstr>CCOE</vt:lpstr>
      <vt:lpstr>ddConsortium</vt:lpstr>
      <vt:lpstr>CCOE!Print_Area</vt:lpstr>
      <vt:lpstr>Delta!Print_Area</vt:lpstr>
      <vt:lpstr>Lodi!Print_Area</vt:lpstr>
      <vt:lpstr>Manteca!Print_Area</vt:lpstr>
      <vt:lpstr>'River Delta'!Print_Area</vt:lpstr>
      <vt:lpstr>SJCOE!Print_Area</vt:lpstr>
      <vt:lpstr>Stockton!Print_Area</vt:lpstr>
      <vt:lpstr>Summary!Print_Area</vt:lpstr>
      <vt:lpstr>Tracy!Print_Area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Carlene Feichter</dc:creator>
  <cp:keywords/>
  <dc:description/>
  <cp:lastModifiedBy>Greg Hill Jr.</cp:lastModifiedBy>
  <cp:lastPrinted>2015-10-06T23:27:55Z</cp:lastPrinted>
  <dcterms:created xsi:type="dcterms:W3CDTF">2014-05-13T19:18:33Z</dcterms:created>
  <dcterms:modified xsi:type="dcterms:W3CDTF">2015-11-30T23:20:27Z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